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G:\My Drive\Mortgage\Motto\Advertising\"/>
    </mc:Choice>
  </mc:AlternateContent>
  <xr:revisionPtr revIDLastSave="0" documentId="13_ncr:1_{7018826A-BD7F-4BB1-9752-09C2D4AD78C4}" xr6:coauthVersionLast="47" xr6:coauthVersionMax="47" xr10:uidLastSave="{00000000-0000-0000-0000-000000000000}"/>
  <bookViews>
    <workbookView xWindow="-120" yWindow="-120" windowWidth="30960" windowHeight="16800" activeTab="1" xr2:uid="{3DF1F78F-2EB5-43C3-BDD8-75901C6E3B6A}"/>
  </bookViews>
  <sheets>
    <sheet name="What is 3-2-1 Buydown" sheetId="6" r:id="rId1"/>
    <sheet name="Buydown Calculator" sheetId="1" r:id="rId2"/>
    <sheet name=" " sheetId="4" state="hidden" r:id="rId3"/>
  </sheets>
  <definedNames>
    <definedName name="_xlnm.Print_Area" localSheetId="1">'Buydown Calculator'!$A$2:$AG$70</definedName>
    <definedName name="_xlnm.Print_Area" localSheetId="0">'What is 3-2-1 Buydown'!$A$1:$Y$55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6" i="1" l="1"/>
  <c r="X44" i="1"/>
  <c r="X42" i="1"/>
  <c r="X40" i="1"/>
  <c r="F31" i="1"/>
  <c r="E17" i="1"/>
  <c r="S15" i="1"/>
  <c r="X24" i="1"/>
  <c r="S26" i="1"/>
  <c r="S17" i="1"/>
  <c r="X15" i="1"/>
  <c r="Y17" i="1"/>
  <c r="S24" i="1"/>
  <c r="AD17" i="1"/>
  <c r="AD26" i="1"/>
  <c r="Y26" i="1"/>
  <c r="S42" i="1"/>
  <c r="S40" i="1"/>
  <c r="W54" i="1"/>
  <c r="AD54" i="1" s="1"/>
  <c r="W44" i="1"/>
  <c r="S46" i="1"/>
  <c r="F26" i="1" l="1"/>
  <c r="H34" i="1"/>
  <c r="H32" i="1"/>
  <c r="H29" i="1"/>
  <c r="H26" i="1"/>
  <c r="V32" i="1" l="1"/>
  <c r="V24" i="1"/>
  <c r="S22" i="1"/>
  <c r="V15" i="1"/>
  <c r="S11" i="1"/>
  <c r="F9" i="1" l="1"/>
  <c r="G19" i="1"/>
  <c r="AC32" i="1"/>
  <c r="AC24" i="1"/>
  <c r="AC15" i="1"/>
  <c r="O7" i="1"/>
  <c r="K17" i="1"/>
  <c r="I7" i="1"/>
  <c r="N19" i="1" l="1"/>
  <c r="M9" i="1"/>
  <c r="W56" i="1"/>
  <c r="W17" i="1"/>
  <c r="W26" i="1"/>
  <c r="W34" i="1"/>
  <c r="W58" i="1" l="1"/>
  <c r="W60" i="1" s="1"/>
  <c r="AD58" i="1"/>
  <c r="AD56" i="1"/>
  <c r="AE60" i="1" s="1"/>
  <c r="AC26" i="1"/>
  <c r="AC17" i="1"/>
  <c r="AC34" i="1"/>
  <c r="V44" i="1" l="1"/>
  <c r="V40" i="1"/>
  <c r="Z62" i="1"/>
  <c r="V42" i="1"/>
  <c r="AC40" i="1" l="1"/>
  <c r="AD40" i="1" s="1"/>
  <c r="V46" i="1"/>
  <c r="AC42" i="1"/>
  <c r="AD42" i="1" s="1"/>
  <c r="AC44" i="1"/>
  <c r="AD44" i="1" s="1"/>
  <c r="AC46" i="1"/>
  <c r="AD46" i="1" s="1"/>
  <c r="K34" i="1" l="1"/>
  <c r="M34" i="1" s="1"/>
  <c r="K32" i="1"/>
  <c r="M32" i="1" s="1"/>
  <c r="K26" i="1"/>
  <c r="M26" i="1" s="1"/>
  <c r="K29" i="1"/>
  <c r="M29" i="1" s="1"/>
</calcChain>
</file>

<file path=xl/sharedStrings.xml><?xml version="1.0" encoding="utf-8"?>
<sst xmlns="http://schemas.openxmlformats.org/spreadsheetml/2006/main" count="86" uniqueCount="79">
  <si>
    <t>Note Rate</t>
  </si>
  <si>
    <t>Purchase Price</t>
  </si>
  <si>
    <t>Totals</t>
  </si>
  <si>
    <t>Max IPCs</t>
  </si>
  <si>
    <t>360</t>
  </si>
  <si>
    <t>Loan Amt</t>
  </si>
  <si>
    <t>Branch Manager &amp; Designated Broker</t>
  </si>
  <si>
    <t xml:space="preserve">425-922-1055 </t>
  </si>
  <si>
    <t>mortgage@tropens.com</t>
  </si>
  <si>
    <r>
      <t xml:space="preserve">Eyal Tropen | </t>
    </r>
    <r>
      <rPr>
        <sz val="11"/>
        <color rgb="FF003057"/>
        <rFont val="Calibri"/>
        <family val="2"/>
        <scheme val="minor"/>
      </rPr>
      <t>NMLS # 874253</t>
    </r>
  </si>
  <si>
    <t>&lt;10%</t>
  </si>
  <si>
    <t>&gt;25%</t>
  </si>
  <si>
    <t>Points:</t>
  </si>
  <si>
    <t>=</t>
  </si>
  <si>
    <t>APR</t>
  </si>
  <si>
    <t>What is a Temporary Seller Paid Buydown?</t>
  </si>
  <si>
    <t>15117 Main St. B106, Mill Creek, WA 98102</t>
  </si>
  <si>
    <t>https://mortgage.tropens.com</t>
  </si>
  <si>
    <t>Est. Pre-Paid Escrow:</t>
  </si>
  <si>
    <t>SELLER PAID TEMPORARY  BUYDOWN EXAMPLE WORKSHEET</t>
  </si>
  <si>
    <t>Actual Cashback Offered:</t>
  </si>
  <si>
    <t>Est. Closing Costs:</t>
  </si>
  <si>
    <t>Borrower Name:</t>
  </si>
  <si>
    <t>Loan Number:</t>
  </si>
  <si>
    <t>Conventional</t>
  </si>
  <si>
    <t>Max IPC</t>
  </si>
  <si>
    <t>Loan Type</t>
  </si>
  <si>
    <t>Primary &amp; 2nd</t>
  </si>
  <si>
    <t>10%-25%</t>
  </si>
  <si>
    <t>Investment</t>
  </si>
  <si>
    <t>Closing Costs, Pre-Paids, Discount Points</t>
  </si>
  <si>
    <t>&gt;15%</t>
  </si>
  <si>
    <t>FHA</t>
  </si>
  <si>
    <t>VA</t>
  </si>
  <si>
    <t>Primary</t>
  </si>
  <si>
    <t>n/a</t>
  </si>
  <si>
    <t>1. Closing Costs &amp; Pre-Paids
2. Discount Points
3. Debt Payoff</t>
  </si>
  <si>
    <t>&gt;=3.5%</t>
  </si>
  <si>
    <t>Min. Down Payment</t>
  </si>
  <si>
    <t>Max. Allowable IPCs:</t>
  </si>
  <si>
    <t>(see chart below to confim)</t>
  </si>
  <si>
    <t>Seller Paid Temporary Buydown Savings</t>
  </si>
  <si>
    <t>Basic Loan Information &amp; Setup</t>
  </si>
  <si>
    <t>Select One:</t>
  </si>
  <si>
    <t xml:space="preserve">New Purchase Price: </t>
  </si>
  <si>
    <t>New Loan Amount</t>
  </si>
  <si>
    <t>New Down Payment:</t>
  </si>
  <si>
    <t>New P&amp;I Monthly Payment:</t>
  </si>
  <si>
    <t>Monthly Payment Reduction:</t>
  </si>
  <si>
    <t>Total 3 Year Savings:</t>
  </si>
  <si>
    <t>NMLS # 2213911</t>
  </si>
  <si>
    <r>
      <t>Remaining IPCs</t>
    </r>
    <r>
      <rPr>
        <b/>
        <u/>
        <sz val="12"/>
        <color rgb="FFC00000"/>
        <rFont val="Calibri"/>
        <family val="2"/>
        <scheme val="minor"/>
      </rPr>
      <t>*</t>
    </r>
    <r>
      <rPr>
        <b/>
        <u/>
        <sz val="12"/>
        <color rgb="FF003057"/>
        <rFont val="Calibri"/>
        <family val="2"/>
        <scheme val="minor"/>
      </rPr>
      <t xml:space="preserve"> (after buydown):</t>
    </r>
  </si>
  <si>
    <r>
      <rPr>
        <sz val="10"/>
        <color rgb="FF003057"/>
        <rFont val="Calibri"/>
        <family val="2"/>
        <scheme val="minor"/>
      </rPr>
      <t>Price Reduction</t>
    </r>
    <r>
      <rPr>
        <sz val="9"/>
        <color rgb="FF003057"/>
        <rFont val="Calibri"/>
        <family val="2"/>
        <scheme val="minor"/>
      </rPr>
      <t xml:space="preserve"> </t>
    </r>
    <r>
      <rPr>
        <sz val="6"/>
        <color rgb="FF003057"/>
        <rFont val="Calibri"/>
        <family val="2"/>
        <scheme val="minor"/>
      </rPr>
      <t>(same as cash back)</t>
    </r>
    <r>
      <rPr>
        <sz val="9"/>
        <color rgb="FF003057"/>
        <rFont val="Calibri"/>
        <family val="2"/>
        <scheme val="minor"/>
      </rPr>
      <t>:</t>
    </r>
  </si>
  <si>
    <t>Click the "Buydown Calculator" Tab Below to See an Example or Create your own!</t>
  </si>
  <si>
    <t>Compare Price Reduction (Assum: Same LTV, Rate, Points, Closing Costs &amp; Pre-Paids)</t>
  </si>
  <si>
    <t>1% Annual Diff.</t>
  </si>
  <si>
    <r>
      <rPr>
        <b/>
        <sz val="12"/>
        <color rgb="FF003057"/>
        <rFont val="Calibri"/>
        <family val="2"/>
        <scheme val="minor"/>
      </rPr>
      <t>Note:</t>
    </r>
    <r>
      <rPr>
        <sz val="12"/>
        <color rgb="FF003057"/>
        <rFont val="Calibri"/>
        <family val="2"/>
        <scheme val="minor"/>
      </rPr>
      <t xml:space="preserve"> If you refinance your loan before the buydown period ends, any unused portion of the buydown will be refunded &amp; used to lower the principle balance of your new loan.</t>
    </r>
  </si>
  <si>
    <t>Contribution Types</t>
  </si>
  <si>
    <t>Residency</t>
  </si>
  <si>
    <t>1. Unlimited
2. Max 2 Pt
3. Up-To 4%</t>
  </si>
  <si>
    <t>LTV</t>
  </si>
  <si>
    <t>Down Payment:</t>
  </si>
  <si>
    <r>
      <rPr>
        <b/>
        <sz val="12"/>
        <color rgb="FF003057"/>
        <rFont val="Calibri"/>
        <family val="2"/>
        <scheme val="minor"/>
      </rPr>
      <t xml:space="preserve">Term </t>
    </r>
    <r>
      <rPr>
        <b/>
        <sz val="10.5"/>
        <color rgb="FF003057"/>
        <rFont val="Calibri"/>
        <family val="2"/>
        <scheme val="minor"/>
      </rPr>
      <t xml:space="preserve">
(in Months)</t>
    </r>
  </si>
  <si>
    <t>(annual saving)</t>
  </si>
  <si>
    <t>P&amp;I @ Rate minus 1%</t>
  </si>
  <si>
    <t>New Points:</t>
  </si>
  <si>
    <r>
      <rPr>
        <sz val="11"/>
        <color rgb="FFC00000"/>
        <rFont val="Calibri"/>
        <family val="2"/>
        <scheme val="minor"/>
      </rPr>
      <t>*</t>
    </r>
    <r>
      <rPr>
        <sz val="11"/>
        <color rgb="FF003057"/>
        <rFont val="Calibri"/>
        <family val="2"/>
        <scheme val="minor"/>
      </rPr>
      <t xml:space="preserve"> Extra can be used to pay closing costs &amp; Prepaids, but not to reduce downpayment.</t>
    </r>
  </si>
  <si>
    <t>Difference in Monthly Payment</t>
  </si>
  <si>
    <t>Multiplied by 12:</t>
  </si>
  <si>
    <t>Rate minus 1%:</t>
  </si>
  <si>
    <r>
      <t xml:space="preserve">Eyal Tropen | </t>
    </r>
    <r>
      <rPr>
        <sz val="16"/>
        <color rgb="FF003057"/>
        <rFont val="Calibri"/>
        <family val="2"/>
        <scheme val="minor"/>
      </rPr>
      <t>NMLS # 874253</t>
    </r>
  </si>
  <si>
    <t>Down Payment+Point Reduction:</t>
  </si>
  <si>
    <t>Interested Party (Seller or Agent) Contributions (IPC)</t>
  </si>
  <si>
    <r>
      <t>Closing Costs &amp; Pre-Paid Escrow</t>
    </r>
    <r>
      <rPr>
        <b/>
        <sz val="7"/>
        <color rgb="FF003057"/>
        <rFont val="Calibri"/>
        <family val="2"/>
        <scheme val="minor"/>
      </rPr>
      <t xml:space="preserve"> (Texes, Homeowners Insurance, Pre-Paid Interest)</t>
    </r>
  </si>
  <si>
    <t>(1pt = 1% of loan amount)</t>
  </si>
  <si>
    <t>Total Costs, &amp; Pre-Paids:</t>
  </si>
  <si>
    <t>Fully Amortized P&amp;I Payment</t>
  </si>
  <si>
    <t xml:space="preserve">Residential Mortgage Loan Originator Licensed in CA, WA | WA-MLO-874253, CA-DBO874253 | Equal Housing Opportunity | MM TITAN MORTGAGE, LLC NMLS ID# 2213911 (www.nmlsconsumeraccess.org) | MM Titan Mortgage LLC is licensed by WA # MB-2213911. All information contained herein is for informational purposes only and, while every effort has been made to ensure accuracy, no guarantee is expressed or implied. Any programs shown do not demonstrate all options or pricing structures. Rates, terms, programs and underwriting policies subject to change without notice. This is not an offer to extend credit or a commitment to lend. All loans subject to underwriting approval. Some products may not be available in all states and restrictions apply. </t>
  </si>
  <si>
    <r>
      <t xml:space="preserve">Instead of lowering your offer or asking price, please consider using a temporary 3-2-1, 2-1, 1-1 or 1-0 Seller Paid Buydown.
The seller will pay, at closing, a pre-set amount which will cause the buyer's effective rate to be lowered in the first few years of the life of the loan. 
* With a </t>
    </r>
    <r>
      <rPr>
        <b/>
        <sz val="20"/>
        <color rgb="FF003057"/>
        <rFont val="Calibri"/>
        <family val="2"/>
        <scheme val="minor"/>
      </rPr>
      <t>3-2-1 buydown</t>
    </r>
    <r>
      <rPr>
        <sz val="20"/>
        <color rgb="FF003057"/>
        <rFont val="Calibri"/>
        <family val="2"/>
        <scheme val="minor"/>
      </rPr>
      <t xml:space="preserve">, the effective rate will be reduced by </t>
    </r>
    <r>
      <rPr>
        <b/>
        <sz val="20"/>
        <color rgb="FF003057"/>
        <rFont val="Calibri"/>
        <family val="2"/>
        <scheme val="minor"/>
      </rPr>
      <t>3%</t>
    </r>
    <r>
      <rPr>
        <sz val="20"/>
        <color rgb="FF003057"/>
        <rFont val="Calibri"/>
        <family val="2"/>
        <scheme val="minor"/>
      </rPr>
      <t xml:space="preserve"> during the </t>
    </r>
    <r>
      <rPr>
        <b/>
        <sz val="20"/>
        <color rgb="FF003057"/>
        <rFont val="Calibri"/>
        <family val="2"/>
        <scheme val="minor"/>
      </rPr>
      <t>1</t>
    </r>
    <r>
      <rPr>
        <b/>
        <vertAlign val="superscript"/>
        <sz val="20"/>
        <color rgb="FF003057"/>
        <rFont val="Calibri"/>
        <family val="2"/>
        <scheme val="minor"/>
      </rPr>
      <t>st</t>
    </r>
    <r>
      <rPr>
        <sz val="20"/>
        <color rgb="FF003057"/>
        <rFont val="Calibri"/>
        <family val="2"/>
        <scheme val="minor"/>
      </rPr>
      <t xml:space="preserve"> year, </t>
    </r>
    <r>
      <rPr>
        <b/>
        <sz val="20"/>
        <color rgb="FF003057"/>
        <rFont val="Calibri"/>
        <family val="2"/>
        <scheme val="minor"/>
      </rPr>
      <t>2%</t>
    </r>
    <r>
      <rPr>
        <sz val="20"/>
        <color rgb="FF003057"/>
        <rFont val="Calibri"/>
        <family val="2"/>
        <scheme val="minor"/>
      </rPr>
      <t xml:space="preserve"> during the </t>
    </r>
    <r>
      <rPr>
        <b/>
        <sz val="20"/>
        <color rgb="FF003057"/>
        <rFont val="Calibri"/>
        <family val="2"/>
        <scheme val="minor"/>
      </rPr>
      <t>2</t>
    </r>
    <r>
      <rPr>
        <b/>
        <vertAlign val="superscript"/>
        <sz val="20"/>
        <color rgb="FF003057"/>
        <rFont val="Calibri"/>
        <family val="2"/>
        <scheme val="minor"/>
      </rPr>
      <t>nd</t>
    </r>
    <r>
      <rPr>
        <sz val="20"/>
        <color rgb="FF003057"/>
        <rFont val="Calibri"/>
        <family val="2"/>
        <scheme val="minor"/>
      </rPr>
      <t xml:space="preserve"> year, and </t>
    </r>
    <r>
      <rPr>
        <b/>
        <sz val="20"/>
        <color rgb="FF003057"/>
        <rFont val="Calibri"/>
        <family val="2"/>
        <scheme val="minor"/>
      </rPr>
      <t>1%</t>
    </r>
    <r>
      <rPr>
        <sz val="20"/>
        <color rgb="FF003057"/>
        <rFont val="Calibri"/>
        <family val="2"/>
        <scheme val="minor"/>
      </rPr>
      <t xml:space="preserve"> during the </t>
    </r>
    <r>
      <rPr>
        <b/>
        <sz val="20"/>
        <color rgb="FF003057"/>
        <rFont val="Calibri"/>
        <family val="2"/>
        <scheme val="minor"/>
      </rPr>
      <t>3</t>
    </r>
    <r>
      <rPr>
        <b/>
        <vertAlign val="superscript"/>
        <sz val="20"/>
        <color rgb="FF003057"/>
        <rFont val="Calibri"/>
        <family val="2"/>
        <scheme val="minor"/>
      </rPr>
      <t>rd</t>
    </r>
    <r>
      <rPr>
        <sz val="20"/>
        <color rgb="FF003057"/>
        <rFont val="Calibri"/>
        <family val="2"/>
        <scheme val="minor"/>
      </rPr>
      <t xml:space="preserve"> year. Starting with the </t>
    </r>
    <r>
      <rPr>
        <b/>
        <sz val="20"/>
        <color rgb="FF003057"/>
        <rFont val="Calibri"/>
        <family val="2"/>
        <scheme val="minor"/>
      </rPr>
      <t>4</t>
    </r>
    <r>
      <rPr>
        <b/>
        <vertAlign val="superscript"/>
        <sz val="20"/>
        <color rgb="FF003057"/>
        <rFont val="Calibri"/>
        <family val="2"/>
        <scheme val="minor"/>
      </rPr>
      <t>th</t>
    </r>
    <r>
      <rPr>
        <sz val="20"/>
        <color rgb="FF003057"/>
        <rFont val="Calibri"/>
        <family val="2"/>
        <scheme val="minor"/>
      </rPr>
      <t xml:space="preserve"> year of the life of the loan, the rate will go back to the </t>
    </r>
    <r>
      <rPr>
        <b/>
        <sz val="20"/>
        <color rgb="FF003057"/>
        <rFont val="Calibri"/>
        <family val="2"/>
        <scheme val="minor"/>
      </rPr>
      <t>fully amortized</t>
    </r>
    <r>
      <rPr>
        <sz val="20"/>
        <color rgb="FF003057"/>
        <rFont val="Calibri"/>
        <family val="2"/>
        <scheme val="minor"/>
      </rPr>
      <t xml:space="preserve"> loan rate.
* With a </t>
    </r>
    <r>
      <rPr>
        <b/>
        <sz val="20"/>
        <color rgb="FF003057"/>
        <rFont val="Calibri"/>
        <family val="2"/>
        <scheme val="minor"/>
      </rPr>
      <t>2-1 buydown</t>
    </r>
    <r>
      <rPr>
        <sz val="20"/>
        <color rgb="FF003057"/>
        <rFont val="Calibri"/>
        <family val="2"/>
        <scheme val="minor"/>
      </rPr>
      <t xml:space="preserve">, the effective rate will be reduced by </t>
    </r>
    <r>
      <rPr>
        <b/>
        <sz val="20"/>
        <color rgb="FF003057"/>
        <rFont val="Calibri"/>
        <family val="2"/>
        <scheme val="minor"/>
      </rPr>
      <t>2%</t>
    </r>
    <r>
      <rPr>
        <sz val="20"/>
        <color rgb="FF003057"/>
        <rFont val="Calibri"/>
        <family val="2"/>
        <scheme val="minor"/>
      </rPr>
      <t xml:space="preserve"> during the </t>
    </r>
    <r>
      <rPr>
        <b/>
        <sz val="20"/>
        <color rgb="FF003057"/>
        <rFont val="Calibri"/>
        <family val="2"/>
        <scheme val="minor"/>
      </rPr>
      <t>1</t>
    </r>
    <r>
      <rPr>
        <b/>
        <vertAlign val="superscript"/>
        <sz val="20"/>
        <color rgb="FF003057"/>
        <rFont val="Calibri"/>
        <family val="2"/>
        <scheme val="minor"/>
      </rPr>
      <t>st</t>
    </r>
    <r>
      <rPr>
        <sz val="20"/>
        <color rgb="FF003057"/>
        <rFont val="Calibri"/>
        <family val="2"/>
        <scheme val="minor"/>
      </rPr>
      <t xml:space="preserve"> year, and </t>
    </r>
    <r>
      <rPr>
        <b/>
        <sz val="20"/>
        <color rgb="FF003057"/>
        <rFont val="Calibri"/>
        <family val="2"/>
        <scheme val="minor"/>
      </rPr>
      <t>1%</t>
    </r>
    <r>
      <rPr>
        <sz val="20"/>
        <color rgb="FF003057"/>
        <rFont val="Calibri"/>
        <family val="2"/>
        <scheme val="minor"/>
      </rPr>
      <t xml:space="preserve"> during the </t>
    </r>
    <r>
      <rPr>
        <b/>
        <sz val="20"/>
        <color rgb="FF003057"/>
        <rFont val="Calibri"/>
        <family val="2"/>
        <scheme val="minor"/>
      </rPr>
      <t>2</t>
    </r>
    <r>
      <rPr>
        <b/>
        <vertAlign val="superscript"/>
        <sz val="20"/>
        <color rgb="FF003057"/>
        <rFont val="Calibri"/>
        <family val="2"/>
        <scheme val="minor"/>
      </rPr>
      <t>nd</t>
    </r>
    <r>
      <rPr>
        <sz val="20"/>
        <color rgb="FF003057"/>
        <rFont val="Calibri"/>
        <family val="2"/>
        <scheme val="minor"/>
      </rPr>
      <t xml:space="preserve"> year. Starting with the </t>
    </r>
    <r>
      <rPr>
        <b/>
        <sz val="20"/>
        <color rgb="FF003057"/>
        <rFont val="Calibri"/>
        <family val="2"/>
        <scheme val="minor"/>
      </rPr>
      <t>3</t>
    </r>
    <r>
      <rPr>
        <b/>
        <vertAlign val="superscript"/>
        <sz val="20"/>
        <color rgb="FF003057"/>
        <rFont val="Calibri"/>
        <family val="2"/>
        <scheme val="minor"/>
      </rPr>
      <t>rd</t>
    </r>
    <r>
      <rPr>
        <sz val="20"/>
        <color rgb="FF003057"/>
        <rFont val="Calibri"/>
        <family val="2"/>
        <scheme val="minor"/>
      </rPr>
      <t xml:space="preserve"> year of the life of the loan, the rate will go back to the </t>
    </r>
    <r>
      <rPr>
        <b/>
        <sz val="20"/>
        <color rgb="FF003057"/>
        <rFont val="Calibri"/>
        <family val="2"/>
        <scheme val="minor"/>
      </rPr>
      <t>fully amortized</t>
    </r>
    <r>
      <rPr>
        <sz val="20"/>
        <color rgb="FF003057"/>
        <rFont val="Calibri"/>
        <family val="2"/>
        <scheme val="minor"/>
      </rPr>
      <t xml:space="preserve"> loan rate.
* With a </t>
    </r>
    <r>
      <rPr>
        <b/>
        <sz val="20"/>
        <color rgb="FF003057"/>
        <rFont val="Calibri"/>
        <family val="2"/>
        <scheme val="minor"/>
      </rPr>
      <t>1-1 buydown</t>
    </r>
    <r>
      <rPr>
        <sz val="20"/>
        <color rgb="FF003057"/>
        <rFont val="Calibri"/>
        <family val="2"/>
        <scheme val="minor"/>
      </rPr>
      <t xml:space="preserve">, the effective rate will be reduced by </t>
    </r>
    <r>
      <rPr>
        <b/>
        <sz val="20"/>
        <color rgb="FF003057"/>
        <rFont val="Calibri"/>
        <family val="2"/>
        <scheme val="minor"/>
      </rPr>
      <t>1%</t>
    </r>
    <r>
      <rPr>
        <sz val="20"/>
        <color rgb="FF003057"/>
        <rFont val="Calibri"/>
        <family val="2"/>
        <scheme val="minor"/>
      </rPr>
      <t xml:space="preserve"> during the first </t>
    </r>
    <r>
      <rPr>
        <b/>
        <sz val="20"/>
        <color rgb="FF003057"/>
        <rFont val="Calibri"/>
        <family val="2"/>
        <scheme val="minor"/>
      </rPr>
      <t>TWO</t>
    </r>
    <r>
      <rPr>
        <sz val="20"/>
        <color rgb="FF003057"/>
        <rFont val="Calibri"/>
        <family val="2"/>
        <scheme val="minor"/>
      </rPr>
      <t xml:space="preserve"> years, then starting with the </t>
    </r>
    <r>
      <rPr>
        <b/>
        <sz val="20"/>
        <color rgb="FF003057"/>
        <rFont val="Calibri"/>
        <family val="2"/>
        <scheme val="minor"/>
      </rPr>
      <t>3</t>
    </r>
    <r>
      <rPr>
        <b/>
        <vertAlign val="superscript"/>
        <sz val="20"/>
        <color rgb="FF003057"/>
        <rFont val="Calibri"/>
        <family val="2"/>
        <scheme val="minor"/>
      </rPr>
      <t>rd</t>
    </r>
    <r>
      <rPr>
        <sz val="20"/>
        <color rgb="FF003057"/>
        <rFont val="Calibri"/>
        <family val="2"/>
        <scheme val="minor"/>
      </rPr>
      <t xml:space="preserve"> year of the life of the loan, the rate will go back to the </t>
    </r>
    <r>
      <rPr>
        <b/>
        <sz val="20"/>
        <color rgb="FF003057"/>
        <rFont val="Calibri"/>
        <family val="2"/>
        <scheme val="minor"/>
      </rPr>
      <t>fully amortize</t>
    </r>
    <r>
      <rPr>
        <sz val="20"/>
        <color rgb="FF003057"/>
        <rFont val="Calibri"/>
        <family val="2"/>
        <scheme val="minor"/>
      </rPr>
      <t xml:space="preserve">d loan rate.
* With a </t>
    </r>
    <r>
      <rPr>
        <b/>
        <sz val="20"/>
        <color rgb="FF003057"/>
        <rFont val="Calibri"/>
        <family val="2"/>
        <scheme val="minor"/>
      </rPr>
      <t>1-0 buydown</t>
    </r>
    <r>
      <rPr>
        <sz val="20"/>
        <color rgb="FF003057"/>
        <rFont val="Calibri"/>
        <family val="2"/>
        <scheme val="minor"/>
      </rPr>
      <t xml:space="preserve">, the effective rate will be reduced by </t>
    </r>
    <r>
      <rPr>
        <b/>
        <sz val="20"/>
        <color rgb="FF003057"/>
        <rFont val="Calibri"/>
        <family val="2"/>
        <scheme val="minor"/>
      </rPr>
      <t>1%</t>
    </r>
    <r>
      <rPr>
        <sz val="20"/>
        <color rgb="FF003057"/>
        <rFont val="Calibri"/>
        <family val="2"/>
        <scheme val="minor"/>
      </rPr>
      <t xml:space="preserve"> only during the </t>
    </r>
    <r>
      <rPr>
        <b/>
        <sz val="20"/>
        <color rgb="FF003057"/>
        <rFont val="Calibri"/>
        <family val="2"/>
        <scheme val="minor"/>
      </rPr>
      <t>1</t>
    </r>
    <r>
      <rPr>
        <b/>
        <vertAlign val="superscript"/>
        <sz val="20"/>
        <color rgb="FF003057"/>
        <rFont val="Calibri"/>
        <family val="2"/>
        <scheme val="minor"/>
      </rPr>
      <t>st</t>
    </r>
    <r>
      <rPr>
        <sz val="20"/>
        <color rgb="FF003057"/>
        <rFont val="Calibri"/>
        <family val="2"/>
        <scheme val="minor"/>
      </rPr>
      <t xml:space="preserve"> year. Starting with the </t>
    </r>
    <r>
      <rPr>
        <b/>
        <sz val="20"/>
        <color rgb="FF003057"/>
        <rFont val="Calibri"/>
        <family val="2"/>
        <scheme val="minor"/>
      </rPr>
      <t>2</t>
    </r>
    <r>
      <rPr>
        <b/>
        <vertAlign val="superscript"/>
        <sz val="20"/>
        <color rgb="FF003057"/>
        <rFont val="Calibri"/>
        <family val="2"/>
        <scheme val="minor"/>
      </rPr>
      <t>nd</t>
    </r>
    <r>
      <rPr>
        <sz val="20"/>
        <color rgb="FF003057"/>
        <rFont val="Calibri"/>
        <family val="2"/>
        <scheme val="minor"/>
      </rPr>
      <t xml:space="preserve"> year of the life of the loan, the rate will go back to the </t>
    </r>
    <r>
      <rPr>
        <b/>
        <sz val="20"/>
        <color rgb="FF003057"/>
        <rFont val="Calibri"/>
        <family val="2"/>
        <scheme val="minor"/>
      </rPr>
      <t>fully amortized</t>
    </r>
    <r>
      <rPr>
        <sz val="20"/>
        <color rgb="FF003057"/>
        <rFont val="Calibri"/>
        <family val="2"/>
        <scheme val="minor"/>
      </rPr>
      <t xml:space="preserve"> loan rate.
This strategy is especially effective in periods when the prevailing rates are relatively high, and there is a reasonable expectation that rates will come down significantly during the buydown period (such as when inflation is high, but expected to coold down).
</t>
    </r>
    <r>
      <rPr>
        <b/>
        <u/>
        <sz val="20"/>
        <color rgb="FF003057"/>
        <rFont val="Calibri"/>
        <family val="2"/>
        <scheme val="minor"/>
      </rPr>
      <t>NOTE:</t>
    </r>
    <r>
      <rPr>
        <sz val="20"/>
        <color rgb="FF003057"/>
        <rFont val="Calibri"/>
        <family val="2"/>
        <scheme val="minor"/>
      </rPr>
      <t xml:space="preserve">
- Borrowers must qualify based on the fully amortized interest rate &amp; payment which will apply after the temporary buydown ends. 
- Some lenders limit Temporary Buydowns to Primary Residence Conventional Loand. Some extend to FHA &amp; VA. Some allow even 2</t>
    </r>
    <r>
      <rPr>
        <vertAlign val="superscript"/>
        <sz val="20"/>
        <color rgb="FF003057"/>
        <rFont val="Calibri"/>
        <family val="2"/>
        <scheme val="minor"/>
      </rPr>
      <t>nd</t>
    </r>
    <r>
      <rPr>
        <sz val="20"/>
        <color rgb="FF003057"/>
        <rFont val="Calibri"/>
        <family val="2"/>
        <scheme val="minor"/>
      </rPr>
      <t xml:space="preserve"> homes or Investments.
- Temporary buydown fees must be paid by the seller, with appropriate language in the purchase &amp; sale agreement.
- Borrower may still pay additional points for a permanent rate buydown - ask your loan officer for details and a total cost analysis.
- Not all lenders offer Temporary Seller Paid Buydowns and some only offer a limited set of options, so your fully amortized, undiscounted interest rate may be higher than would be available otherwise.
</t>
    </r>
    <r>
      <rPr>
        <sz val="1"/>
        <color rgb="FF003057"/>
        <rFont val="Calibri"/>
        <family val="2"/>
        <scheme val="minor"/>
      </rPr>
      <t xml:space="preserve">
</t>
    </r>
    <r>
      <rPr>
        <sz val="20"/>
        <color rgb="FFFF0000"/>
        <rFont val="Calibri"/>
        <family val="2"/>
        <scheme val="minor"/>
      </rPr>
      <t>Since the fields above are editable by anyone, the terms you see may not be currently available! Please contact your loan officer for current rates &amp; terms.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</si>
</sst>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
    <numFmt numFmtId="165" formatCode="&quot;$&quot;#,##0.00"/>
    <numFmt numFmtId="166" formatCode="_([$$-409]* #,##0.00_);_([$$-409]* \(#,##0.00\);_([$$-409]* &quot;-&quot;??_);_(@_)"/>
    <numFmt numFmtId="167" formatCode="0.000%"/>
    <numFmt numFmtId="168" formatCode="[$$-409]#,##0.00_);\([$$-409]#,##0.00\)"/>
    <numFmt numFmtId="169" formatCode="0.000"/>
    <numFmt numFmtId="170" formatCode="[$$-409]#,##0_);\([$$-409]#,##0\)"/>
  </numFmts>
  <fonts count="66" x14ac:knownFonts="1">
    <font>
      <sz val="11"/>
      <color theme="1"/>
      <name val="Calibri"/>
      <family val="2"/>
      <scheme val="minor"/>
    </font>
    <font>
      <sz val="11"/>
      <color theme="1"/>
      <name val="Calibri"/>
      <family val="2"/>
      <scheme val="minor"/>
    </font>
    <font>
      <sz val="11"/>
      <color rgb="FF007698"/>
      <name val="Calibri"/>
      <family val="2"/>
      <scheme val="minor"/>
    </font>
    <font>
      <b/>
      <sz val="10"/>
      <color rgb="FF007698"/>
      <name val="Calibri"/>
      <family val="2"/>
      <scheme val="minor"/>
    </font>
    <font>
      <sz val="10"/>
      <color rgb="FF007698"/>
      <name val="Calibri"/>
      <family val="2"/>
      <scheme val="minor"/>
    </font>
    <font>
      <b/>
      <sz val="14"/>
      <color theme="0"/>
      <name val="Calibri"/>
      <family val="2"/>
      <scheme val="minor"/>
    </font>
    <font>
      <b/>
      <sz val="11"/>
      <color theme="1"/>
      <name val="Calibri"/>
      <family val="2"/>
      <scheme val="minor"/>
    </font>
    <font>
      <u/>
      <sz val="11"/>
      <color theme="10"/>
      <name val="Calibri"/>
      <family val="2"/>
      <scheme val="minor"/>
    </font>
    <font>
      <b/>
      <sz val="10"/>
      <color rgb="FF003057"/>
      <name val="Calibri"/>
      <family val="2"/>
      <scheme val="minor"/>
    </font>
    <font>
      <sz val="10"/>
      <color rgb="FF003057"/>
      <name val="Calibri"/>
      <family val="2"/>
      <scheme val="minor"/>
    </font>
    <font>
      <b/>
      <sz val="9"/>
      <color rgb="FF003057"/>
      <name val="Calibri"/>
      <family val="2"/>
      <scheme val="minor"/>
    </font>
    <font>
      <sz val="11"/>
      <color rgb="FF003057"/>
      <name val="Calibri"/>
      <family val="2"/>
      <scheme val="minor"/>
    </font>
    <font>
      <b/>
      <sz val="14"/>
      <color rgb="FF003057"/>
      <name val="Calibri"/>
      <family val="2"/>
      <scheme val="minor"/>
    </font>
    <font>
      <b/>
      <sz val="11"/>
      <color rgb="FF003057"/>
      <name val="Calibri"/>
      <family val="2"/>
      <scheme val="minor"/>
    </font>
    <font>
      <sz val="10.5"/>
      <color rgb="FF003057"/>
      <name val="Calibri"/>
      <family val="2"/>
      <scheme val="minor"/>
    </font>
    <font>
      <u/>
      <sz val="10.5"/>
      <color theme="10"/>
      <name val="Calibri"/>
      <family val="2"/>
      <scheme val="minor"/>
    </font>
    <font>
      <b/>
      <u/>
      <sz val="12"/>
      <color rgb="FF003057"/>
      <name val="Calibri"/>
      <family val="2"/>
      <scheme val="minor"/>
    </font>
    <font>
      <sz val="9"/>
      <color rgb="FF003057"/>
      <name val="Calibri"/>
      <family val="2"/>
      <scheme val="minor"/>
    </font>
    <font>
      <sz val="9"/>
      <color rgb="FF007698"/>
      <name val="Calibri"/>
      <family val="2"/>
      <scheme val="minor"/>
    </font>
    <font>
      <sz val="8"/>
      <color rgb="FF003057"/>
      <name val="Calibri"/>
      <family val="2"/>
      <scheme val="minor"/>
    </font>
    <font>
      <sz val="8.5"/>
      <color rgb="FF003057"/>
      <name val="Calibri"/>
      <family val="2"/>
      <scheme val="minor"/>
    </font>
    <font>
      <b/>
      <sz val="10"/>
      <color theme="0"/>
      <name val="Calibri"/>
      <family val="2"/>
      <scheme val="minor"/>
    </font>
    <font>
      <sz val="8"/>
      <color rgb="FF000000"/>
      <name val="Segoe UI"/>
      <family val="2"/>
    </font>
    <font>
      <b/>
      <sz val="8"/>
      <color rgb="FF007698"/>
      <name val="Calibri"/>
      <family val="2"/>
      <scheme val="minor"/>
    </font>
    <font>
      <b/>
      <sz val="11"/>
      <color rgb="FF007698"/>
      <name val="Calibri"/>
      <family val="2"/>
      <scheme val="minor"/>
    </font>
    <font>
      <sz val="6"/>
      <color rgb="FF003057"/>
      <name val="Calibri"/>
      <family val="2"/>
      <scheme val="minor"/>
    </font>
    <font>
      <sz val="6.5"/>
      <color rgb="FF003057"/>
      <name val="Calibri"/>
      <family val="2"/>
      <scheme val="minor"/>
    </font>
    <font>
      <u/>
      <sz val="10"/>
      <color theme="10"/>
      <name val="Calibri"/>
      <family val="2"/>
      <scheme val="minor"/>
    </font>
    <font>
      <b/>
      <sz val="8.5"/>
      <color rgb="FF003057"/>
      <name val="Calibri"/>
      <family val="2"/>
      <scheme val="minor"/>
    </font>
    <font>
      <b/>
      <sz val="12"/>
      <color rgb="FFC00000"/>
      <name val="Calibri"/>
      <family val="2"/>
      <scheme val="minor"/>
    </font>
    <font>
      <sz val="12"/>
      <color rgb="FF003057"/>
      <name val="Calibri"/>
      <family val="2"/>
      <scheme val="minor"/>
    </font>
    <font>
      <b/>
      <sz val="12"/>
      <color rgb="FF003057"/>
      <name val="Calibri"/>
      <family val="2"/>
      <scheme val="minor"/>
    </font>
    <font>
      <u/>
      <sz val="12"/>
      <color rgb="FF003057"/>
      <name val="Calibri"/>
      <family val="2"/>
      <scheme val="minor"/>
    </font>
    <font>
      <u/>
      <sz val="12"/>
      <color rgb="FF007698"/>
      <name val="Calibri"/>
      <family val="2"/>
      <scheme val="minor"/>
    </font>
    <font>
      <b/>
      <sz val="16"/>
      <color rgb="FF003057"/>
      <name val="Calibri"/>
      <family val="2"/>
      <scheme val="minor"/>
    </font>
    <font>
      <b/>
      <sz val="9.5"/>
      <color rgb="FF003057"/>
      <name val="Calibri"/>
      <family val="2"/>
      <scheme val="minor"/>
    </font>
    <font>
      <b/>
      <sz val="10.5"/>
      <color rgb="FF003057"/>
      <name val="Calibri"/>
      <family val="2"/>
      <scheme val="minor"/>
    </font>
    <font>
      <sz val="10.5"/>
      <color rgb="FF007698"/>
      <name val="Calibri"/>
      <family val="2"/>
      <scheme val="minor"/>
    </font>
    <font>
      <b/>
      <u/>
      <sz val="12"/>
      <color rgb="FFC00000"/>
      <name val="Calibri"/>
      <family val="2"/>
      <scheme val="minor"/>
    </font>
    <font>
      <b/>
      <sz val="12"/>
      <color theme="0"/>
      <name val="Calibri"/>
      <family val="2"/>
      <scheme val="minor"/>
    </font>
    <font>
      <sz val="14"/>
      <color rgb="FF003057"/>
      <name val="Calibri"/>
      <family val="2"/>
      <scheme val="minor"/>
    </font>
    <font>
      <sz val="20"/>
      <color rgb="FF007698"/>
      <name val="Calibri"/>
      <family val="2"/>
      <scheme val="minor"/>
    </font>
    <font>
      <sz val="20"/>
      <color rgb="FF003057"/>
      <name val="Calibri"/>
      <family val="2"/>
      <scheme val="minor"/>
    </font>
    <font>
      <b/>
      <sz val="20"/>
      <color rgb="FF003057"/>
      <name val="Calibri"/>
      <family val="2"/>
      <scheme val="minor"/>
    </font>
    <font>
      <b/>
      <vertAlign val="superscript"/>
      <sz val="20"/>
      <color rgb="FF003057"/>
      <name val="Calibri"/>
      <family val="2"/>
      <scheme val="minor"/>
    </font>
    <font>
      <vertAlign val="superscript"/>
      <sz val="20"/>
      <color rgb="FF003057"/>
      <name val="Calibri"/>
      <family val="2"/>
      <scheme val="minor"/>
    </font>
    <font>
      <b/>
      <u/>
      <sz val="22"/>
      <color rgb="FF003057"/>
      <name val="Calibri"/>
      <family val="2"/>
      <scheme val="minor"/>
    </font>
    <font>
      <sz val="20"/>
      <color rgb="FFC00000"/>
      <name val="Calibri"/>
      <family val="2"/>
      <scheme val="minor"/>
    </font>
    <font>
      <b/>
      <sz val="13.5"/>
      <color rgb="FF003057"/>
      <name val="Calibri"/>
      <family val="2"/>
      <scheme val="minor"/>
    </font>
    <font>
      <sz val="11"/>
      <color rgb="FFC00000"/>
      <name val="Calibri"/>
      <family val="2"/>
      <scheme val="minor"/>
    </font>
    <font>
      <b/>
      <u/>
      <sz val="14"/>
      <color rgb="FF003057"/>
      <name val="Calibri"/>
      <family val="2"/>
      <scheme val="minor"/>
    </font>
    <font>
      <b/>
      <u/>
      <sz val="20"/>
      <color rgb="FF003057"/>
      <name val="Calibri"/>
      <family val="2"/>
      <scheme val="minor"/>
    </font>
    <font>
      <b/>
      <sz val="12"/>
      <color theme="1"/>
      <name val="Calibri"/>
      <family val="2"/>
      <scheme val="minor"/>
    </font>
    <font>
      <b/>
      <sz val="12"/>
      <color rgb="FF007698"/>
      <name val="Calibri"/>
      <family val="2"/>
      <scheme val="minor"/>
    </font>
    <font>
      <sz val="12"/>
      <color theme="1"/>
      <name val="Calibri"/>
      <family val="2"/>
      <scheme val="minor"/>
    </font>
    <font>
      <sz val="14"/>
      <color rgb="FFC00000"/>
      <name val="Calibri"/>
      <family val="2"/>
      <scheme val="minor"/>
    </font>
    <font>
      <b/>
      <sz val="14"/>
      <color rgb="FFC00000"/>
      <name val="Calibri"/>
      <family val="2"/>
      <scheme val="minor"/>
    </font>
    <font>
      <u/>
      <sz val="10"/>
      <color rgb="FF003057"/>
      <name val="Calibri"/>
      <family val="2"/>
      <scheme val="minor"/>
    </font>
    <font>
      <sz val="16"/>
      <color rgb="FF003057"/>
      <name val="Calibri"/>
      <family val="2"/>
      <scheme val="minor"/>
    </font>
    <font>
      <sz val="12"/>
      <color rgb="FF007698"/>
      <name val="Calibri"/>
      <family val="2"/>
      <scheme val="minor"/>
    </font>
    <font>
      <b/>
      <sz val="26"/>
      <color theme="0"/>
      <name val="Calibri"/>
      <family val="2"/>
      <scheme val="minor"/>
    </font>
    <font>
      <b/>
      <sz val="7"/>
      <color rgb="FF003057"/>
      <name val="Calibri"/>
      <family val="2"/>
      <scheme val="minor"/>
    </font>
    <font>
      <u/>
      <sz val="11.5"/>
      <color rgb="FF003057"/>
      <name val="Calibri"/>
      <family val="2"/>
      <scheme val="minor"/>
    </font>
    <font>
      <sz val="9"/>
      <color theme="1"/>
      <name val="Calibri"/>
      <family val="2"/>
      <scheme val="minor"/>
    </font>
    <font>
      <sz val="20"/>
      <color rgb="FFFF0000"/>
      <name val="Calibri"/>
      <family val="2"/>
      <scheme val="minor"/>
    </font>
    <font>
      <sz val="1"/>
      <color rgb="FF003057"/>
      <name val="Calibri"/>
      <family val="2"/>
      <scheme val="minor"/>
    </font>
  </fonts>
  <fills count="1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3057"/>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s>
  <borders count="46">
    <border>
      <left/>
      <right/>
      <top/>
      <bottom/>
      <diagonal/>
    </border>
    <border>
      <left/>
      <right/>
      <top/>
      <bottom style="thin">
        <color indexed="64"/>
      </bottom>
      <diagonal/>
    </border>
    <border>
      <left/>
      <right style="thick">
        <color rgb="FF64C887"/>
      </right>
      <top/>
      <bottom/>
      <diagonal/>
    </border>
    <border>
      <left style="medium">
        <color rgb="FF64C887"/>
      </left>
      <right/>
      <top style="medium">
        <color rgb="FF64C887"/>
      </top>
      <bottom/>
      <diagonal/>
    </border>
    <border>
      <left/>
      <right/>
      <top style="medium">
        <color rgb="FF64C887"/>
      </top>
      <bottom/>
      <diagonal/>
    </border>
    <border>
      <left/>
      <right style="medium">
        <color rgb="FF64C887"/>
      </right>
      <top style="medium">
        <color rgb="FF64C887"/>
      </top>
      <bottom/>
      <diagonal/>
    </border>
    <border>
      <left style="medium">
        <color rgb="FF64C887"/>
      </left>
      <right/>
      <top/>
      <bottom/>
      <diagonal/>
    </border>
    <border>
      <left/>
      <right style="medium">
        <color rgb="FF64C887"/>
      </right>
      <top/>
      <bottom/>
      <diagonal/>
    </border>
    <border>
      <left style="medium">
        <color rgb="FF64C887"/>
      </left>
      <right/>
      <top/>
      <bottom style="medium">
        <color rgb="FF64C887"/>
      </bottom>
      <diagonal/>
    </border>
    <border>
      <left/>
      <right/>
      <top/>
      <bottom style="medium">
        <color rgb="FF64C887"/>
      </bottom>
      <diagonal/>
    </border>
    <border>
      <left/>
      <right style="medium">
        <color rgb="FF64C887"/>
      </right>
      <top/>
      <bottom style="medium">
        <color rgb="FF64C887"/>
      </bottom>
      <diagonal/>
    </border>
    <border>
      <left/>
      <right/>
      <top/>
      <bottom style="medium">
        <color rgb="FFA4BCC2"/>
      </bottom>
      <diagonal/>
    </border>
    <border>
      <left/>
      <right/>
      <top style="medium">
        <color rgb="FFA4BCC2"/>
      </top>
      <bottom/>
      <diagonal/>
    </border>
    <border>
      <left style="medium">
        <color rgb="FF64C887"/>
      </left>
      <right/>
      <top style="medium">
        <color rgb="FF64C887"/>
      </top>
      <bottom style="medium">
        <color rgb="FF64C887"/>
      </bottom>
      <diagonal/>
    </border>
    <border>
      <left/>
      <right/>
      <top style="medium">
        <color rgb="FF64C887"/>
      </top>
      <bottom style="medium">
        <color rgb="FF64C887"/>
      </bottom>
      <diagonal/>
    </border>
    <border>
      <left/>
      <right style="medium">
        <color rgb="FF64C887"/>
      </right>
      <top style="medium">
        <color rgb="FF64C887"/>
      </top>
      <bottom style="medium">
        <color rgb="FF64C887"/>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DashDotDot">
        <color rgb="FFC00000"/>
      </left>
      <right/>
      <top style="mediumDashDotDot">
        <color rgb="FFC00000"/>
      </top>
      <bottom style="mediumDashDotDot">
        <color rgb="FFC00000"/>
      </bottom>
      <diagonal/>
    </border>
    <border>
      <left/>
      <right/>
      <top style="mediumDashDotDot">
        <color rgb="FFC00000"/>
      </top>
      <bottom style="mediumDashDotDot">
        <color rgb="FFC00000"/>
      </bottom>
      <diagonal/>
    </border>
    <border>
      <left/>
      <right style="mediumDashDotDot">
        <color rgb="FFC00000"/>
      </right>
      <top style="mediumDashDotDot">
        <color rgb="FFC00000"/>
      </top>
      <bottom style="mediumDashDotDot">
        <color rgb="FFC00000"/>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389">
    <xf numFmtId="0" fontId="0" fillId="0" borderId="0" xfId="0"/>
    <xf numFmtId="0" fontId="2"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6" fillId="0" borderId="0" xfId="0" applyFont="1" applyAlignment="1">
      <alignment horizontal="center" vertical="center"/>
    </xf>
    <xf numFmtId="9" fontId="0" fillId="0" borderId="0" xfId="0" applyNumberFormat="1" applyAlignment="1">
      <alignment horizontal="center" vertical="center"/>
    </xf>
    <xf numFmtId="0" fontId="2" fillId="0" borderId="0" xfId="0" applyFont="1" applyAlignment="1">
      <alignment horizontal="center" vertical="center"/>
    </xf>
    <xf numFmtId="0" fontId="9" fillId="4" borderId="0" xfId="0" applyFont="1" applyFill="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8" fillId="0" borderId="0" xfId="0" applyFont="1" applyAlignment="1">
      <alignment vertical="center" wrapText="1"/>
    </xf>
    <xf numFmtId="165" fontId="9" fillId="0" borderId="0" xfId="0" applyNumberFormat="1" applyFont="1" applyAlignment="1">
      <alignment horizontal="right" vertical="center" wrapText="1"/>
    </xf>
    <xf numFmtId="0" fontId="11" fillId="0" borderId="0" xfId="0" applyFont="1" applyAlignment="1">
      <alignment horizontal="center" vertical="center" wrapText="1"/>
    </xf>
    <xf numFmtId="0" fontId="2" fillId="0" borderId="3" xfId="0" applyFont="1" applyBorder="1" applyAlignment="1">
      <alignment horizontal="center" vertical="center" wrapText="1"/>
    </xf>
    <xf numFmtId="0" fontId="9"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7" xfId="0" applyFont="1" applyBorder="1" applyAlignment="1">
      <alignment horizontal="left" vertical="center" wrapText="1"/>
    </xf>
    <xf numFmtId="0" fontId="4" fillId="0" borderId="7" xfId="0" applyFont="1" applyBorder="1" applyAlignment="1">
      <alignment horizontal="center" vertical="center" wrapText="1"/>
    </xf>
    <xf numFmtId="0" fontId="2" fillId="0" borderId="6" xfId="0" applyFont="1" applyBorder="1" applyAlignment="1">
      <alignment horizontal="left" vertical="center" wrapText="1"/>
    </xf>
    <xf numFmtId="0" fontId="4" fillId="0" borderId="7" xfId="0" applyFont="1" applyBorder="1" applyAlignment="1">
      <alignment horizontal="left" vertical="center" wrapText="1"/>
    </xf>
    <xf numFmtId="0" fontId="2"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3"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center" vertical="center" wrapText="1"/>
    </xf>
    <xf numFmtId="0" fontId="4" fillId="4" borderId="7" xfId="0" applyFont="1" applyFill="1" applyBorder="1" applyAlignment="1">
      <alignment horizontal="center" vertical="center" wrapText="1"/>
    </xf>
    <xf numFmtId="0" fontId="9" fillId="0" borderId="0" xfId="0" applyFont="1" applyAlignment="1">
      <alignment vertical="center"/>
    </xf>
    <xf numFmtId="0" fontId="2" fillId="0" borderId="0" xfId="0" applyFont="1" applyAlignment="1">
      <alignment horizontal="left" vertical="center"/>
    </xf>
    <xf numFmtId="0" fontId="16"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right" vertical="center" wrapText="1"/>
    </xf>
    <xf numFmtId="0" fontId="9" fillId="0" borderId="4" xfId="0" applyFont="1" applyBorder="1" applyAlignment="1">
      <alignment horizontal="right" vertical="center" wrapText="1"/>
    </xf>
    <xf numFmtId="0" fontId="9" fillId="0" borderId="0" xfId="0" applyFont="1" applyAlignment="1">
      <alignment horizontal="right" vertical="center" wrapText="1"/>
    </xf>
    <xf numFmtId="0" fontId="11" fillId="0" borderId="0" xfId="0" applyFont="1" applyAlignment="1">
      <alignment horizontal="right" vertical="center" wrapText="1"/>
    </xf>
    <xf numFmtId="0" fontId="4" fillId="0" borderId="9" xfId="0" applyFont="1" applyBorder="1" applyAlignment="1">
      <alignment horizontal="right" vertical="center" wrapText="1"/>
    </xf>
    <xf numFmtId="0" fontId="4" fillId="0" borderId="0" xfId="0" applyFont="1" applyAlignment="1">
      <alignment horizontal="right" vertical="center" wrapText="1"/>
    </xf>
    <xf numFmtId="0" fontId="17" fillId="4" borderId="0" xfId="0" applyFont="1" applyFill="1" applyAlignment="1">
      <alignment horizontal="center" vertical="center" wrapText="1"/>
    </xf>
    <xf numFmtId="0" fontId="10" fillId="4" borderId="0" xfId="0" applyFont="1" applyFill="1" applyAlignment="1">
      <alignment horizontal="center" vertical="center" wrapText="1"/>
    </xf>
    <xf numFmtId="49" fontId="17" fillId="4" borderId="0" xfId="0" applyNumberFormat="1" applyFont="1" applyFill="1" applyAlignment="1">
      <alignment horizontal="right" vertical="center" wrapText="1"/>
    </xf>
    <xf numFmtId="10" fontId="17" fillId="4" borderId="0" xfId="0" applyNumberFormat="1" applyFont="1" applyFill="1" applyAlignment="1">
      <alignment horizontal="center" vertical="center" wrapText="1"/>
    </xf>
    <xf numFmtId="164" fontId="17" fillId="4" borderId="0" xfId="0" applyNumberFormat="1" applyFont="1" applyFill="1" applyAlignment="1">
      <alignment horizontal="center" vertical="center" wrapText="1"/>
    </xf>
    <xf numFmtId="0" fontId="10" fillId="0" borderId="0" xfId="0" applyFont="1" applyAlignment="1">
      <alignment horizontal="left" vertical="center" wrapText="1"/>
    </xf>
    <xf numFmtId="166" fontId="17" fillId="0" borderId="0" xfId="0" applyNumberFormat="1" applyFont="1" applyAlignment="1">
      <alignment horizontal="left" vertical="center" wrapText="1"/>
    </xf>
    <xf numFmtId="0" fontId="17" fillId="0" borderId="0" xfId="0" applyFont="1" applyAlignment="1">
      <alignment horizontal="left" vertical="center" wrapText="1"/>
    </xf>
    <xf numFmtId="166" fontId="17" fillId="0" borderId="0" xfId="0" applyNumberFormat="1" applyFont="1" applyAlignment="1">
      <alignment horizontal="center" vertical="center" wrapText="1"/>
    </xf>
    <xf numFmtId="0" fontId="17" fillId="0" borderId="9" xfId="0" applyFont="1" applyBorder="1" applyAlignment="1">
      <alignment horizontal="center" vertical="center" wrapText="1"/>
    </xf>
    <xf numFmtId="0" fontId="17" fillId="0" borderId="9" xfId="0" applyFont="1" applyBorder="1" applyAlignment="1">
      <alignment horizontal="right" vertical="center" wrapText="1"/>
    </xf>
    <xf numFmtId="0" fontId="17" fillId="0" borderId="4" xfId="0" applyFont="1" applyBorder="1" applyAlignment="1">
      <alignment horizontal="left" vertical="center" wrapText="1"/>
    </xf>
    <xf numFmtId="0" fontId="17" fillId="0" borderId="4" xfId="0" applyFont="1" applyBorder="1" applyAlignment="1">
      <alignment horizontal="right" vertical="center" wrapText="1"/>
    </xf>
    <xf numFmtId="0" fontId="17" fillId="0" borderId="0" xfId="0" applyFont="1" applyAlignment="1">
      <alignment horizontal="center" vertical="center" wrapText="1"/>
    </xf>
    <xf numFmtId="0" fontId="17" fillId="0" borderId="0" xfId="0" applyFont="1" applyAlignment="1">
      <alignment horizontal="right" vertical="center" wrapText="1"/>
    </xf>
    <xf numFmtId="0" fontId="17" fillId="0" borderId="4" xfId="0" applyFont="1" applyBorder="1" applyAlignment="1">
      <alignment horizontal="center" vertical="center" wrapText="1"/>
    </xf>
    <xf numFmtId="166" fontId="17" fillId="0" borderId="0" xfId="0" applyNumberFormat="1" applyFont="1" applyAlignment="1">
      <alignment horizontal="right" vertical="center" wrapText="1"/>
    </xf>
    <xf numFmtId="0" fontId="10" fillId="0" borderId="0" xfId="0" applyFont="1" applyAlignment="1">
      <alignment horizontal="left" vertical="center"/>
    </xf>
    <xf numFmtId="0" fontId="21" fillId="0" borderId="0" xfId="0" applyFont="1" applyAlignment="1" applyProtection="1">
      <alignment horizontal="left" vertical="center" wrapText="1"/>
      <protection locked="0" hidden="1"/>
    </xf>
    <xf numFmtId="0" fontId="10" fillId="0" borderId="0" xfId="0" applyFont="1" applyAlignment="1">
      <alignment horizontal="left" wrapText="1"/>
    </xf>
    <xf numFmtId="0" fontId="10" fillId="0" borderId="0" xfId="0" applyFont="1" applyAlignment="1">
      <alignment horizontal="right" vertical="center"/>
    </xf>
    <xf numFmtId="0" fontId="13" fillId="0" borderId="0" xfId="0" applyFont="1" applyAlignment="1">
      <alignment vertical="center"/>
    </xf>
    <xf numFmtId="0" fontId="9" fillId="4" borderId="0" xfId="0" applyFont="1" applyFill="1" applyAlignment="1">
      <alignment horizontal="right" vertical="top" wrapText="1"/>
    </xf>
    <xf numFmtId="0" fontId="9" fillId="4" borderId="0" xfId="0" applyFont="1" applyFill="1" applyAlignment="1">
      <alignment horizontal="center" vertical="top" wrapText="1"/>
    </xf>
    <xf numFmtId="0" fontId="10" fillId="4" borderId="0" xfId="0" applyFont="1" applyFill="1" applyAlignment="1">
      <alignment horizontal="center" vertical="top" wrapText="1"/>
    </xf>
    <xf numFmtId="0" fontId="2"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165" fontId="3" fillId="4" borderId="7" xfId="0" applyNumberFormat="1"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17" fillId="0" borderId="0" xfId="0" applyFont="1" applyAlignment="1">
      <alignment vertical="center" wrapText="1"/>
    </xf>
    <xf numFmtId="0" fontId="8" fillId="0" borderId="0" xfId="0" applyFont="1" applyAlignment="1">
      <alignment horizontal="right" vertical="center" wrapText="1"/>
    </xf>
    <xf numFmtId="0" fontId="10" fillId="0" borderId="0" xfId="0" applyFont="1" applyAlignment="1">
      <alignment horizontal="left" vertical="center" wrapText="1" indent="1"/>
    </xf>
    <xf numFmtId="0" fontId="9" fillId="7" borderId="0" xfId="0" applyFont="1" applyFill="1" applyAlignment="1">
      <alignment horizontal="center" vertical="center" wrapText="1"/>
    </xf>
    <xf numFmtId="167" fontId="9" fillId="0" borderId="0" xfId="0" applyNumberFormat="1" applyFont="1" applyAlignment="1">
      <alignment horizontal="right" vertical="center" wrapText="1"/>
    </xf>
    <xf numFmtId="0" fontId="23" fillId="0" borderId="0" xfId="0" applyFont="1" applyAlignment="1">
      <alignment horizontal="center" vertical="center" wrapText="1"/>
    </xf>
    <xf numFmtId="0" fontId="17" fillId="0" borderId="0" xfId="0" applyFont="1" applyAlignment="1">
      <alignment vertical="top" wrapText="1"/>
    </xf>
    <xf numFmtId="0" fontId="2" fillId="7" borderId="0" xfId="0" applyFont="1" applyFill="1" applyAlignment="1">
      <alignment horizontal="center" vertical="center"/>
    </xf>
    <xf numFmtId="0" fontId="13" fillId="4" borderId="0" xfId="0" applyFont="1" applyFill="1" applyAlignment="1">
      <alignment wrapText="1"/>
    </xf>
    <xf numFmtId="0" fontId="9" fillId="7" borderId="0" xfId="0" applyFont="1" applyFill="1" applyAlignment="1">
      <alignment vertical="center" wrapText="1"/>
    </xf>
    <xf numFmtId="164" fontId="8" fillId="0" borderId="0" xfId="0" applyNumberFormat="1" applyFont="1" applyAlignment="1">
      <alignment horizontal="center" wrapText="1"/>
    </xf>
    <xf numFmtId="0" fontId="2" fillId="7" borderId="0" xfId="0" applyFont="1" applyFill="1" applyAlignment="1">
      <alignment horizontal="center" vertical="center" wrapText="1"/>
    </xf>
    <xf numFmtId="0" fontId="2" fillId="7" borderId="0" xfId="0" applyFont="1" applyFill="1" applyAlignment="1">
      <alignment horizontal="left" vertical="center" wrapText="1"/>
    </xf>
    <xf numFmtId="0" fontId="9" fillId="7" borderId="0" xfId="0" applyFont="1" applyFill="1" applyAlignment="1">
      <alignment horizontal="righ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9" fillId="0" borderId="6" xfId="0" applyFont="1" applyBorder="1" applyAlignment="1">
      <alignment horizontal="justify" vertical="top" wrapText="1"/>
    </xf>
    <xf numFmtId="0" fontId="19" fillId="0" borderId="0" xfId="0" applyFont="1" applyAlignment="1">
      <alignment horizontal="justify" vertical="top" wrapText="1"/>
    </xf>
    <xf numFmtId="0" fontId="19" fillId="0" borderId="7" xfId="0" applyFont="1" applyBorder="1" applyAlignment="1">
      <alignment horizontal="justify" vertical="top" wrapText="1"/>
    </xf>
    <xf numFmtId="0" fontId="2" fillId="0" borderId="0" xfId="0" applyFont="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7" fillId="7" borderId="0" xfId="0" applyFont="1" applyFill="1" applyAlignment="1">
      <alignment horizontal="right" vertical="center" wrapText="1"/>
    </xf>
    <xf numFmtId="0" fontId="2" fillId="7" borderId="0" xfId="0" applyFont="1" applyFill="1" applyAlignment="1">
      <alignment horizontal="right" vertical="center" wrapText="1"/>
    </xf>
    <xf numFmtId="0" fontId="9" fillId="0" borderId="0" xfId="0" applyFont="1" applyAlignment="1">
      <alignment vertical="top" wrapText="1"/>
    </xf>
    <xf numFmtId="0" fontId="20" fillId="0" borderId="0" xfId="0" applyFont="1" applyAlignment="1">
      <alignment vertical="top" wrapText="1"/>
    </xf>
    <xf numFmtId="0" fontId="15" fillId="0" borderId="0" xfId="2" applyFont="1" applyBorder="1" applyAlignment="1" applyProtection="1">
      <alignment vertical="center"/>
    </xf>
    <xf numFmtId="0" fontId="19" fillId="0" borderId="0" xfId="0" applyFont="1" applyAlignment="1">
      <alignment vertical="top" wrapText="1"/>
    </xf>
    <xf numFmtId="0" fontId="9" fillId="0" borderId="0" xfId="0" applyFont="1"/>
    <xf numFmtId="0" fontId="12" fillId="0" borderId="0" xfId="0" applyFont="1" applyAlignment="1">
      <alignment vertical="center" wrapText="1"/>
    </xf>
    <xf numFmtId="0" fontId="12" fillId="0" borderId="0" xfId="0" applyFont="1" applyAlignment="1">
      <alignment vertical="center"/>
    </xf>
    <xf numFmtId="0" fontId="20" fillId="0" borderId="0" xfId="0" applyFont="1" applyAlignment="1">
      <alignment vertical="top"/>
    </xf>
    <xf numFmtId="0" fontId="4" fillId="0" borderId="0" xfId="0" applyFont="1" applyAlignment="1">
      <alignment horizontal="center" vertical="center"/>
    </xf>
    <xf numFmtId="0" fontId="13" fillId="0" borderId="0" xfId="0" applyFont="1" applyAlignment="1">
      <alignment vertical="top"/>
    </xf>
    <xf numFmtId="0" fontId="2" fillId="0" borderId="0" xfId="0" applyFont="1" applyAlignment="1">
      <alignment horizontal="center" vertical="top" wrapText="1"/>
    </xf>
    <xf numFmtId="0" fontId="2" fillId="0" borderId="0" xfId="0" applyFont="1" applyAlignment="1">
      <alignment horizontal="center" vertical="top"/>
    </xf>
    <xf numFmtId="0" fontId="15" fillId="0" borderId="0" xfId="2" applyFont="1" applyBorder="1" applyAlignment="1" applyProtection="1">
      <alignment vertical="top"/>
    </xf>
    <xf numFmtId="0" fontId="2" fillId="0" borderId="0" xfId="0" applyFont="1" applyAlignment="1">
      <alignment horizontal="left" vertical="top"/>
    </xf>
    <xf numFmtId="0" fontId="2" fillId="0" borderId="0" xfId="0" applyFont="1" applyAlignment="1">
      <alignment horizontal="right" vertical="top" wrapText="1"/>
    </xf>
    <xf numFmtId="0" fontId="9" fillId="0" borderId="0" xfId="0" applyFont="1" applyAlignment="1">
      <alignment horizontal="left" vertical="top"/>
    </xf>
    <xf numFmtId="0" fontId="27" fillId="0" borderId="0" xfId="2" applyFont="1" applyBorder="1" applyAlignment="1" applyProtection="1">
      <alignment vertical="top"/>
    </xf>
    <xf numFmtId="0" fontId="15" fillId="7" borderId="0" xfId="2" applyFont="1" applyFill="1" applyBorder="1" applyAlignment="1" applyProtection="1">
      <alignment vertical="center"/>
    </xf>
    <xf numFmtId="0" fontId="26" fillId="7" borderId="0" xfId="0" applyFont="1" applyFill="1" applyAlignment="1">
      <alignment vertical="top" wrapText="1"/>
    </xf>
    <xf numFmtId="0" fontId="4" fillId="7" borderId="0" xfId="0" applyFont="1" applyFill="1" applyAlignment="1">
      <alignment horizontal="center" vertical="center"/>
    </xf>
    <xf numFmtId="0" fontId="16" fillId="7" borderId="0" xfId="0" applyFont="1" applyFill="1" applyAlignment="1">
      <alignment vertical="center" wrapText="1"/>
    </xf>
    <xf numFmtId="0" fontId="16" fillId="7" borderId="0" xfId="0" applyFont="1" applyFill="1" applyAlignment="1">
      <alignment horizontal="center" vertical="center" wrapText="1"/>
    </xf>
    <xf numFmtId="0" fontId="4" fillId="7" borderId="0" xfId="0" applyFont="1" applyFill="1" applyAlignment="1">
      <alignment horizontal="center" vertical="center" wrapText="1"/>
    </xf>
    <xf numFmtId="0" fontId="3" fillId="7" borderId="0" xfId="0" applyFont="1" applyFill="1" applyAlignment="1">
      <alignment horizontal="left" vertical="center" wrapText="1"/>
    </xf>
    <xf numFmtId="0" fontId="4" fillId="7" borderId="0" xfId="0" applyFont="1" applyFill="1" applyAlignment="1">
      <alignment horizontal="left" vertical="center" wrapText="1"/>
    </xf>
    <xf numFmtId="0" fontId="19" fillId="7" borderId="0" xfId="0" applyFont="1" applyFill="1" applyAlignment="1">
      <alignment horizontal="justify" vertical="top" wrapText="1"/>
    </xf>
    <xf numFmtId="0" fontId="2" fillId="7" borderId="2" xfId="0" applyFont="1" applyFill="1" applyBorder="1" applyAlignment="1">
      <alignment horizontal="center" vertical="center" wrapText="1"/>
    </xf>
    <xf numFmtId="0" fontId="4" fillId="7" borderId="0" xfId="0" applyFont="1" applyFill="1" applyAlignment="1">
      <alignment horizontal="right" vertical="center" wrapText="1"/>
    </xf>
    <xf numFmtId="0" fontId="2" fillId="7" borderId="2"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10" fillId="7" borderId="0" xfId="0" applyFont="1" applyFill="1" applyAlignment="1">
      <alignment horizontal="left" vertical="center" wrapText="1"/>
    </xf>
    <xf numFmtId="166" fontId="17" fillId="7" borderId="0" xfId="0" applyNumberFormat="1" applyFont="1" applyFill="1" applyAlignment="1">
      <alignment horizontal="left" vertical="center" wrapText="1"/>
    </xf>
    <xf numFmtId="0" fontId="10" fillId="7" borderId="0" xfId="0" applyFont="1" applyFill="1" applyAlignment="1">
      <alignment horizontal="right" vertical="center" wrapText="1"/>
    </xf>
    <xf numFmtId="166" fontId="17" fillId="7" borderId="0" xfId="0" applyNumberFormat="1" applyFont="1" applyFill="1" applyAlignment="1">
      <alignment horizontal="center" vertical="center" wrapText="1"/>
    </xf>
    <xf numFmtId="0" fontId="17" fillId="7" borderId="0" xfId="0" applyFont="1" applyFill="1" applyAlignment="1">
      <alignment horizontal="left" vertical="center" wrapText="1"/>
    </xf>
    <xf numFmtId="0" fontId="2" fillId="7" borderId="14" xfId="0" applyFont="1" applyFill="1" applyBorder="1" applyAlignment="1">
      <alignment horizontal="center" vertical="center" wrapText="1"/>
    </xf>
    <xf numFmtId="0" fontId="17" fillId="7" borderId="0" xfId="0" applyFont="1" applyFill="1" applyAlignment="1">
      <alignment horizontal="center" vertical="center" wrapText="1"/>
    </xf>
    <xf numFmtId="0" fontId="2" fillId="7" borderId="4" xfId="0" applyFont="1" applyFill="1" applyBorder="1" applyAlignment="1">
      <alignment horizontal="center" vertical="center" wrapText="1"/>
    </xf>
    <xf numFmtId="0" fontId="2" fillId="7" borderId="9"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10" fillId="7" borderId="9" xfId="0" applyFont="1" applyFill="1" applyBorder="1" applyAlignment="1">
      <alignment horizontal="right" vertical="center" wrapText="1"/>
    </xf>
    <xf numFmtId="49" fontId="17" fillId="7" borderId="9" xfId="0" applyNumberFormat="1" applyFont="1" applyFill="1" applyBorder="1" applyAlignment="1" applyProtection="1">
      <alignment horizontal="center" vertical="center" wrapText="1"/>
      <protection locked="0"/>
    </xf>
    <xf numFmtId="0" fontId="9" fillId="7" borderId="9" xfId="0" applyFont="1" applyFill="1" applyBorder="1" applyAlignment="1">
      <alignment horizontal="center" vertical="center" wrapText="1"/>
    </xf>
    <xf numFmtId="0" fontId="18" fillId="7" borderId="9" xfId="0" applyFont="1" applyFill="1" applyBorder="1" applyAlignment="1">
      <alignment horizontal="center" vertical="center" wrapText="1"/>
    </xf>
    <xf numFmtId="164" fontId="9" fillId="7" borderId="9" xfId="0" applyNumberFormat="1" applyFont="1" applyFill="1" applyBorder="1" applyAlignment="1">
      <alignment horizontal="center" vertical="center" wrapText="1"/>
    </xf>
    <xf numFmtId="0" fontId="10" fillId="7" borderId="9" xfId="0" applyFont="1" applyFill="1" applyBorder="1" applyAlignment="1">
      <alignment horizontal="center" vertical="top" wrapText="1"/>
    </xf>
    <xf numFmtId="0" fontId="9" fillId="7" borderId="10"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0" fillId="7" borderId="14" xfId="0" applyFont="1" applyFill="1" applyBorder="1" applyAlignment="1">
      <alignment horizontal="right" vertical="center" wrapText="1"/>
    </xf>
    <xf numFmtId="49" fontId="17" fillId="7" borderId="14" xfId="0" applyNumberFormat="1" applyFont="1" applyFill="1" applyBorder="1" applyAlignment="1" applyProtection="1">
      <alignment horizontal="center" vertical="center" wrapText="1"/>
      <protection locked="0"/>
    </xf>
    <xf numFmtId="0" fontId="18" fillId="7" borderId="14" xfId="0" applyFont="1" applyFill="1" applyBorder="1" applyAlignment="1">
      <alignment horizontal="center" vertical="center" wrapText="1"/>
    </xf>
    <xf numFmtId="164" fontId="9" fillId="7" borderId="14" xfId="0" applyNumberFormat="1" applyFont="1" applyFill="1" applyBorder="1" applyAlignment="1">
      <alignment horizontal="center" vertical="center" wrapText="1"/>
    </xf>
    <xf numFmtId="0" fontId="10" fillId="7" borderId="14" xfId="0" applyFont="1" applyFill="1" applyBorder="1" applyAlignment="1">
      <alignment horizontal="center" vertical="top"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17" fillId="7" borderId="9" xfId="0" applyFont="1" applyFill="1" applyBorder="1" applyAlignment="1">
      <alignment vertical="center" wrapText="1"/>
    </xf>
    <xf numFmtId="0" fontId="4" fillId="7" borderId="10"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9" fillId="0" borderId="0" xfId="0" applyNumberFormat="1" applyFont="1" applyAlignment="1">
      <alignment wrapText="1"/>
    </xf>
    <xf numFmtId="164" fontId="29" fillId="4" borderId="11" xfId="0" applyNumberFormat="1" applyFont="1" applyFill="1" applyBorder="1" applyAlignment="1">
      <alignment horizontal="center" vertical="center" wrapText="1"/>
    </xf>
    <xf numFmtId="167" fontId="30" fillId="2" borderId="11" xfId="0" applyNumberFormat="1" applyFont="1" applyFill="1" applyBorder="1" applyAlignment="1" applyProtection="1">
      <alignment horizontal="center" vertical="center" wrapText="1"/>
      <protection locked="0"/>
    </xf>
    <xf numFmtId="49" fontId="30" fillId="2" borderId="11" xfId="0" applyNumberFormat="1" applyFont="1" applyFill="1" applyBorder="1" applyAlignment="1" applyProtection="1">
      <alignment horizontal="center" vertical="center" wrapText="1"/>
      <protection locked="0"/>
    </xf>
    <xf numFmtId="9" fontId="31" fillId="4" borderId="11" xfId="1" applyFont="1" applyFill="1" applyBorder="1" applyAlignment="1" applyProtection="1">
      <alignment horizontal="center" vertical="center" wrapText="1"/>
    </xf>
    <xf numFmtId="164" fontId="30" fillId="0" borderId="1" xfId="0" applyNumberFormat="1" applyFont="1" applyBorder="1" applyAlignment="1">
      <alignment horizontal="center" vertical="center" wrapText="1"/>
    </xf>
    <xf numFmtId="167" fontId="31" fillId="4" borderId="11" xfId="1" applyNumberFormat="1" applyFont="1" applyFill="1" applyBorder="1" applyAlignment="1" applyProtection="1">
      <alignment horizontal="center" vertical="center" wrapText="1"/>
    </xf>
    <xf numFmtId="0" fontId="31" fillId="2" borderId="11" xfId="0" applyFont="1" applyFill="1" applyBorder="1" applyAlignment="1" applyProtection="1">
      <alignment horizontal="center"/>
      <protection locked="0"/>
    </xf>
    <xf numFmtId="164" fontId="30" fillId="2" borderId="11" xfId="0" applyNumberFormat="1" applyFont="1" applyFill="1" applyBorder="1" applyAlignment="1" applyProtection="1">
      <alignment horizontal="center" vertical="center" wrapText="1"/>
      <protection locked="0"/>
    </xf>
    <xf numFmtId="9" fontId="30" fillId="2" borderId="1"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164" fontId="16" fillId="0" borderId="0" xfId="0" applyNumberFormat="1" applyFont="1" applyAlignment="1">
      <alignment horizontal="left" vertical="center" wrapText="1"/>
    </xf>
    <xf numFmtId="0" fontId="36" fillId="0" borderId="0" xfId="0" applyFont="1" applyAlignment="1">
      <alignment wrapText="1"/>
    </xf>
    <xf numFmtId="0" fontId="37" fillId="0" borderId="0" xfId="0" applyFont="1" applyAlignment="1">
      <alignment horizontal="center" vertical="center" wrapText="1"/>
    </xf>
    <xf numFmtId="164" fontId="5" fillId="5" borderId="14" xfId="0" applyNumberFormat="1" applyFont="1" applyFill="1" applyBorder="1" applyAlignment="1">
      <alignment horizontal="center" vertical="center"/>
    </xf>
    <xf numFmtId="164" fontId="40" fillId="0" borderId="0" xfId="0" applyNumberFormat="1" applyFont="1" applyAlignment="1">
      <alignment horizontal="center" vertical="center" wrapText="1"/>
    </xf>
    <xf numFmtId="165" fontId="30" fillId="0" borderId="0" xfId="0" applyNumberFormat="1"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41" fillId="0" borderId="0" xfId="0" applyFont="1" applyAlignment="1">
      <alignment horizontal="center" vertical="center"/>
    </xf>
    <xf numFmtId="0" fontId="42" fillId="0" borderId="0" xfId="0" applyFont="1" applyAlignment="1">
      <alignment vertical="top" wrapText="1"/>
    </xf>
    <xf numFmtId="164" fontId="32" fillId="0" borderId="0" xfId="0" applyNumberFormat="1" applyFont="1" applyAlignment="1">
      <alignment horizontal="center" wrapText="1"/>
    </xf>
    <xf numFmtId="0" fontId="31" fillId="0" borderId="0" xfId="0" applyFont="1" applyAlignment="1">
      <alignment horizontal="left" vertical="center" wrapText="1"/>
    </xf>
    <xf numFmtId="0" fontId="14" fillId="0" borderId="0" xfId="0" applyFont="1" applyAlignment="1">
      <alignment vertical="top" wrapText="1"/>
    </xf>
    <xf numFmtId="0" fontId="31" fillId="4" borderId="12" xfId="0" applyFont="1" applyFill="1" applyBorder="1" applyAlignment="1">
      <alignment horizontal="center" vertical="top" wrapText="1"/>
    </xf>
    <xf numFmtId="0" fontId="31" fillId="4" borderId="0" xfId="0" applyFont="1" applyFill="1" applyAlignment="1">
      <alignment horizontal="center" vertical="top" wrapText="1"/>
    </xf>
    <xf numFmtId="0" fontId="9" fillId="4" borderId="12" xfId="0" applyFont="1" applyFill="1" applyBorder="1" applyAlignment="1">
      <alignment horizontal="center" vertical="center" wrapText="1"/>
    </xf>
    <xf numFmtId="0" fontId="31" fillId="0" borderId="0" xfId="0" applyFont="1"/>
    <xf numFmtId="170" fontId="32" fillId="0" borderId="0" xfId="0" applyNumberFormat="1" applyFont="1" applyAlignment="1">
      <alignment horizontal="center" vertical="center" wrapText="1"/>
    </xf>
    <xf numFmtId="0" fontId="31" fillId="0" borderId="0" xfId="0" applyFont="1" applyAlignment="1">
      <alignment wrapText="1"/>
    </xf>
    <xf numFmtId="167" fontId="32" fillId="0" borderId="0" xfId="1" applyNumberFormat="1" applyFont="1" applyFill="1" applyBorder="1" applyAlignment="1" applyProtection="1">
      <alignment horizontal="left" vertical="center" wrapText="1"/>
    </xf>
    <xf numFmtId="167" fontId="32" fillId="0" borderId="0" xfId="0" applyNumberFormat="1" applyFont="1" applyAlignment="1">
      <alignment horizontal="left" vertical="center" wrapText="1"/>
    </xf>
    <xf numFmtId="0" fontId="31" fillId="7" borderId="0" xfId="0" applyFont="1" applyFill="1" applyAlignment="1">
      <alignment wrapText="1"/>
    </xf>
    <xf numFmtId="168" fontId="57" fillId="0" borderId="0" xfId="0" applyNumberFormat="1" applyFont="1" applyAlignment="1">
      <alignment horizontal="center" vertical="center" wrapText="1"/>
    </xf>
    <xf numFmtId="0" fontId="34" fillId="0" borderId="0" xfId="0" applyFont="1" applyAlignment="1">
      <alignment vertical="top"/>
    </xf>
    <xf numFmtId="0" fontId="11" fillId="0" borderId="0" xfId="0" applyFont="1" applyAlignment="1">
      <alignment vertical="top"/>
    </xf>
    <xf numFmtId="0" fontId="30" fillId="0" borderId="0" xfId="0" applyFont="1" applyAlignment="1">
      <alignment vertical="top"/>
    </xf>
    <xf numFmtId="0" fontId="11" fillId="0" borderId="0" xfId="0" applyFont="1" applyAlignment="1">
      <alignment horizontal="left" vertical="top"/>
    </xf>
    <xf numFmtId="0" fontId="7" fillId="0" borderId="0" xfId="2" applyBorder="1" applyAlignment="1" applyProtection="1">
      <alignment vertical="top"/>
    </xf>
    <xf numFmtId="0" fontId="7" fillId="0" borderId="0" xfId="2" applyBorder="1" applyAlignment="1" applyProtection="1">
      <alignment horizontal="left" vertical="top"/>
    </xf>
    <xf numFmtId="164" fontId="30" fillId="0" borderId="0" xfId="0" applyNumberFormat="1" applyFont="1" applyAlignment="1">
      <alignment wrapText="1"/>
    </xf>
    <xf numFmtId="0" fontId="59" fillId="0" borderId="0" xfId="0" applyFont="1" applyAlignment="1">
      <alignment horizontal="center" vertical="center" wrapText="1"/>
    </xf>
    <xf numFmtId="164" fontId="31" fillId="7" borderId="11" xfId="0" applyNumberFormat="1" applyFont="1" applyFill="1" applyBorder="1" applyAlignment="1">
      <alignment horizontal="center" wrapText="1"/>
    </xf>
    <xf numFmtId="164" fontId="32" fillId="0" borderId="0" xfId="0" applyNumberFormat="1" applyFont="1" applyAlignment="1">
      <alignment horizontal="center" vertical="center" wrapText="1"/>
    </xf>
    <xf numFmtId="164" fontId="32" fillId="0" borderId="1" xfId="0" applyNumberFormat="1" applyFont="1" applyBorder="1" applyAlignment="1">
      <alignment horizontal="center" wrapText="1"/>
    </xf>
    <xf numFmtId="166" fontId="9" fillId="0" borderId="0" xfId="0" applyNumberFormat="1" applyFont="1" applyAlignment="1">
      <alignment horizontal="right" vertical="center" wrapText="1"/>
    </xf>
    <xf numFmtId="0" fontId="59" fillId="0" borderId="0" xfId="0" applyFont="1" applyAlignment="1">
      <alignment horizontal="right" vertical="center"/>
    </xf>
    <xf numFmtId="0" fontId="31" fillId="0" borderId="0" xfId="0" applyFont="1" applyAlignment="1">
      <alignment vertical="center" wrapText="1"/>
    </xf>
    <xf numFmtId="0" fontId="59" fillId="0" borderId="0" xfId="0" applyFont="1" applyAlignment="1">
      <alignment horizontal="right" vertical="center" wrapText="1"/>
    </xf>
    <xf numFmtId="0" fontId="59" fillId="0" borderId="0" xfId="0" applyFont="1" applyAlignment="1">
      <alignment horizontal="right" vertical="top" wrapText="1"/>
    </xf>
    <xf numFmtId="0" fontId="42" fillId="0" borderId="0" xfId="0" applyFont="1" applyAlignment="1">
      <alignment horizontal="left" vertical="top" wrapText="1"/>
    </xf>
    <xf numFmtId="0" fontId="47" fillId="0" borderId="0" xfId="0" applyFont="1" applyAlignment="1" applyProtection="1">
      <alignment horizontal="center" vertical="top" wrapText="1"/>
      <protection hidden="1"/>
    </xf>
    <xf numFmtId="0" fontId="46" fillId="0" borderId="0" xfId="0" applyFont="1" applyAlignment="1">
      <alignment horizontal="left" vertical="center"/>
    </xf>
    <xf numFmtId="0" fontId="30" fillId="4" borderId="0" xfId="0" applyFont="1" applyFill="1" applyAlignment="1">
      <alignment horizontal="justify" vertical="justify" wrapText="1"/>
    </xf>
    <xf numFmtId="0" fontId="31" fillId="7" borderId="9" xfId="0" applyFont="1" applyFill="1" applyBorder="1" applyAlignment="1">
      <alignment horizontal="center" vertical="center" wrapText="1"/>
    </xf>
    <xf numFmtId="0" fontId="60" fillId="5" borderId="3" xfId="0" applyFont="1" applyFill="1" applyBorder="1" applyAlignment="1">
      <alignment horizontal="center" vertical="center"/>
    </xf>
    <xf numFmtId="0" fontId="60" fillId="5" borderId="4" xfId="0" applyFont="1" applyFill="1" applyBorder="1" applyAlignment="1">
      <alignment horizontal="center" vertical="center"/>
    </xf>
    <xf numFmtId="0" fontId="60" fillId="5" borderId="5" xfId="0" applyFont="1" applyFill="1" applyBorder="1" applyAlignment="1">
      <alignment horizontal="center" vertical="center"/>
    </xf>
    <xf numFmtId="169" fontId="28" fillId="0" borderId="12" xfId="0" quotePrefix="1" applyNumberFormat="1" applyFont="1" applyBorder="1" applyAlignment="1">
      <alignment horizontal="center" vertical="top"/>
    </xf>
    <xf numFmtId="169" fontId="28" fillId="0" borderId="0" xfId="0" quotePrefix="1" applyNumberFormat="1" applyFont="1" applyAlignment="1">
      <alignment horizontal="center" vertical="top"/>
    </xf>
    <xf numFmtId="0" fontId="16" fillId="0" borderId="0" xfId="0" applyFont="1" applyAlignment="1">
      <alignment horizontal="left" wrapText="1"/>
    </xf>
    <xf numFmtId="164" fontId="56" fillId="14" borderId="30" xfId="0" applyNumberFormat="1" applyFont="1" applyFill="1" applyBorder="1" applyAlignment="1">
      <alignment horizontal="center" wrapText="1"/>
    </xf>
    <xf numFmtId="164" fontId="56" fillId="14" borderId="31" xfId="0" applyNumberFormat="1" applyFont="1" applyFill="1" applyBorder="1" applyAlignment="1">
      <alignment horizontal="center" wrapText="1"/>
    </xf>
    <xf numFmtId="0" fontId="55" fillId="14" borderId="29" xfId="0" applyFont="1" applyFill="1" applyBorder="1" applyAlignment="1">
      <alignment horizontal="center" vertical="center"/>
    </xf>
    <xf numFmtId="0" fontId="55" fillId="14" borderId="30" xfId="0" applyFont="1" applyFill="1" applyBorder="1" applyAlignment="1">
      <alignment horizontal="center" vertical="center"/>
    </xf>
    <xf numFmtId="0" fontId="30" fillId="7" borderId="0" xfId="0" applyFont="1" applyFill="1" applyAlignment="1">
      <alignment horizontal="right" vertical="center" wrapText="1"/>
    </xf>
    <xf numFmtId="164" fontId="32" fillId="0" borderId="0" xfId="0" applyNumberFormat="1" applyFont="1" applyAlignment="1">
      <alignment horizontal="center" wrapText="1"/>
    </xf>
    <xf numFmtId="0" fontId="31" fillId="7" borderId="0" xfId="0" applyFont="1" applyFill="1" applyAlignment="1">
      <alignment horizontal="right" vertical="center" wrapText="1"/>
    </xf>
    <xf numFmtId="164" fontId="16" fillId="0" borderId="0" xfId="0" applyNumberFormat="1" applyFont="1" applyAlignment="1">
      <alignment horizontal="center" vertical="center" wrapText="1"/>
    </xf>
    <xf numFmtId="0" fontId="17" fillId="7" borderId="0" xfId="0" applyFont="1" applyFill="1" applyAlignment="1">
      <alignment horizontal="right" vertical="center" wrapText="1"/>
    </xf>
    <xf numFmtId="0" fontId="50" fillId="0" borderId="0" xfId="0" applyFont="1" applyAlignment="1">
      <alignment horizontal="left" vertical="center" wrapText="1"/>
    </xf>
    <xf numFmtId="0" fontId="24" fillId="0" borderId="0" xfId="0" applyFont="1" applyAlignment="1">
      <alignment horizontal="center" vertical="center" wrapText="1"/>
    </xf>
    <xf numFmtId="9" fontId="48" fillId="3" borderId="0" xfId="0" applyNumberFormat="1" applyFont="1" applyFill="1" applyAlignment="1">
      <alignment horizontal="left" vertical="center" wrapText="1"/>
    </xf>
    <xf numFmtId="164" fontId="62" fillId="0" borderId="0" xfId="0" applyNumberFormat="1" applyFont="1" applyAlignment="1">
      <alignment horizontal="left"/>
    </xf>
    <xf numFmtId="164" fontId="62" fillId="0" borderId="0" xfId="0" applyNumberFormat="1" applyFont="1" applyAlignment="1">
      <alignment horizontal="left" vertical="center"/>
    </xf>
    <xf numFmtId="9" fontId="53" fillId="8" borderId="16" xfId="0" applyNumberFormat="1" applyFont="1" applyFill="1" applyBorder="1" applyAlignment="1">
      <alignment horizontal="center" vertical="center" wrapText="1"/>
    </xf>
    <xf numFmtId="9" fontId="53" fillId="8" borderId="22" xfId="0" applyNumberFormat="1" applyFont="1" applyFill="1" applyBorder="1" applyAlignment="1">
      <alignment horizontal="center" vertical="center" wrapText="1"/>
    </xf>
    <xf numFmtId="9" fontId="53" fillId="8" borderId="35" xfId="0" applyNumberFormat="1" applyFont="1" applyFill="1" applyBorder="1" applyAlignment="1">
      <alignment horizontal="center" vertical="center" wrapText="1"/>
    </xf>
    <xf numFmtId="9" fontId="53" fillId="8" borderId="36" xfId="0" applyNumberFormat="1" applyFont="1" applyFill="1" applyBorder="1" applyAlignment="1">
      <alignment horizontal="center" vertical="center" wrapText="1"/>
    </xf>
    <xf numFmtId="9" fontId="34" fillId="3" borderId="0" xfId="0" applyNumberFormat="1" applyFont="1" applyFill="1" applyAlignment="1">
      <alignment horizontal="left" vertical="center" wrapText="1"/>
    </xf>
    <xf numFmtId="164" fontId="32" fillId="0" borderId="0" xfId="0" applyNumberFormat="1" applyFont="1" applyAlignment="1">
      <alignment horizontal="left" wrapText="1"/>
    </xf>
    <xf numFmtId="0" fontId="31" fillId="7" borderId="0" xfId="0" applyFont="1" applyFill="1" applyAlignment="1">
      <alignment horizontal="center" vertical="center" wrapText="1"/>
    </xf>
    <xf numFmtId="166" fontId="30" fillId="0" borderId="0" xfId="0" applyNumberFormat="1" applyFont="1" applyAlignment="1">
      <alignment horizontal="left" vertical="center" wrapText="1"/>
    </xf>
    <xf numFmtId="166" fontId="11" fillId="0" borderId="0" xfId="0" applyNumberFormat="1" applyFont="1" applyAlignment="1">
      <alignment horizontal="left" vertical="center" wrapText="1"/>
    </xf>
    <xf numFmtId="0" fontId="12" fillId="15" borderId="0" xfId="0" applyFont="1" applyFill="1" applyAlignment="1">
      <alignment horizontal="left" wrapText="1"/>
    </xf>
    <xf numFmtId="0" fontId="31" fillId="4" borderId="0" xfId="0" applyFont="1" applyFill="1" applyAlignment="1">
      <alignment horizontal="right" vertical="center"/>
    </xf>
    <xf numFmtId="0" fontId="13" fillId="4" borderId="0" xfId="0" applyFont="1" applyFill="1" applyAlignment="1">
      <alignment horizontal="right" vertical="center" wrapText="1"/>
    </xf>
    <xf numFmtId="49" fontId="30" fillId="6" borderId="11" xfId="0" applyNumberFormat="1" applyFont="1" applyFill="1" applyBorder="1" applyAlignment="1" applyProtection="1">
      <alignment horizontal="center" vertical="center" wrapText="1"/>
      <protection locked="0"/>
    </xf>
    <xf numFmtId="0" fontId="10" fillId="0" borderId="0" xfId="0" applyFont="1" applyAlignment="1">
      <alignment horizontal="center" vertical="top" wrapText="1"/>
    </xf>
    <xf numFmtId="164" fontId="30" fillId="2" borderId="0" xfId="0" applyNumberFormat="1" applyFont="1" applyFill="1" applyAlignment="1" applyProtection="1">
      <alignment horizontal="center" vertical="center" wrapText="1"/>
      <protection locked="0"/>
    </xf>
    <xf numFmtId="9" fontId="12" fillId="3" borderId="0" xfId="0" applyNumberFormat="1" applyFont="1" applyFill="1" applyAlignment="1">
      <alignment horizontal="left" vertical="center" wrapText="1"/>
    </xf>
    <xf numFmtId="0" fontId="12" fillId="3" borderId="0" xfId="0" applyFont="1" applyFill="1" applyAlignment="1">
      <alignment horizontal="left" vertical="center" wrapText="1"/>
    </xf>
    <xf numFmtId="0" fontId="8" fillId="0" borderId="0" xfId="0" applyFont="1" applyAlignment="1">
      <alignment horizontal="left" vertical="center" wrapText="1"/>
    </xf>
    <xf numFmtId="0" fontId="31" fillId="0" borderId="0" xfId="0" applyFont="1" applyAlignment="1">
      <alignment horizontal="center" vertical="center" wrapText="1"/>
    </xf>
    <xf numFmtId="0" fontId="35" fillId="0" borderId="0" xfId="0" applyFont="1" applyAlignment="1">
      <alignment horizontal="right" vertical="center"/>
    </xf>
    <xf numFmtId="0" fontId="31" fillId="0" borderId="0" xfId="0" applyFont="1" applyAlignment="1">
      <alignment horizontal="center" wrapText="1"/>
    </xf>
    <xf numFmtId="0" fontId="51" fillId="0" borderId="0" xfId="0" applyFont="1" applyAlignment="1">
      <alignment horizontal="center" vertical="center" wrapText="1"/>
    </xf>
    <xf numFmtId="0" fontId="51" fillId="0" borderId="9" xfId="0" applyFont="1" applyBorder="1" applyAlignment="1">
      <alignment horizontal="center" vertical="center" wrapText="1"/>
    </xf>
    <xf numFmtId="0" fontId="31" fillId="7" borderId="0" xfId="0" applyFont="1" applyFill="1" applyAlignment="1">
      <alignment horizontal="right" vertical="center"/>
    </xf>
    <xf numFmtId="164" fontId="30" fillId="2" borderId="11" xfId="0" applyNumberFormat="1" applyFont="1" applyFill="1" applyBorder="1" applyAlignment="1" applyProtection="1">
      <alignment horizontal="center" vertical="center" wrapText="1"/>
      <protection locked="0"/>
    </xf>
    <xf numFmtId="0" fontId="31" fillId="7" borderId="0" xfId="0" applyFont="1" applyFill="1" applyAlignment="1">
      <alignment horizontal="center" wrapText="1"/>
    </xf>
    <xf numFmtId="164" fontId="32" fillId="0" borderId="0" xfId="0" applyNumberFormat="1" applyFont="1" applyAlignment="1">
      <alignment horizontal="center" vertical="center" wrapText="1"/>
    </xf>
    <xf numFmtId="0" fontId="31" fillId="4" borderId="12" xfId="0" applyFont="1" applyFill="1" applyBorder="1" applyAlignment="1">
      <alignment horizontal="center" vertical="top" wrapText="1"/>
    </xf>
    <xf numFmtId="0" fontId="36" fillId="4" borderId="12" xfId="0" applyFont="1" applyFill="1" applyBorder="1" applyAlignment="1">
      <alignment horizontal="center" vertical="top" wrapText="1"/>
    </xf>
    <xf numFmtId="0" fontId="36" fillId="4" borderId="0" xfId="0" applyFont="1" applyFill="1" applyAlignment="1">
      <alignment horizontal="center" vertical="top" wrapText="1"/>
    </xf>
    <xf numFmtId="0" fontId="39" fillId="5" borderId="13" xfId="0" applyFont="1" applyFill="1" applyBorder="1" applyAlignment="1">
      <alignment horizontal="center" vertical="center"/>
    </xf>
    <xf numFmtId="0" fontId="39" fillId="5" borderId="14" xfId="0" applyFont="1" applyFill="1" applyBorder="1" applyAlignment="1">
      <alignment horizontal="center" vertical="center"/>
    </xf>
    <xf numFmtId="165" fontId="39" fillId="5" borderId="14" xfId="0" applyNumberFormat="1" applyFont="1" applyFill="1" applyBorder="1" applyAlignment="1">
      <alignment horizontal="center" vertical="center"/>
    </xf>
    <xf numFmtId="165" fontId="39" fillId="5" borderId="15" xfId="0" applyNumberFormat="1" applyFont="1" applyFill="1" applyBorder="1" applyAlignment="1">
      <alignment horizontal="center" vertical="center"/>
    </xf>
    <xf numFmtId="0" fontId="31" fillId="0" borderId="0" xfId="0" applyFont="1" applyAlignment="1">
      <alignment horizontal="right" vertical="center" wrapText="1"/>
    </xf>
    <xf numFmtId="0" fontId="31" fillId="0" borderId="0" xfId="0" applyFont="1" applyAlignment="1">
      <alignment horizontal="right" vertical="center" wrapText="1" indent="1"/>
    </xf>
    <xf numFmtId="164" fontId="31" fillId="7" borderId="9" xfId="0" applyNumberFormat="1" applyFont="1" applyFill="1" applyBorder="1" applyAlignment="1">
      <alignment horizontal="left" vertical="center" wrapText="1"/>
    </xf>
    <xf numFmtId="0" fontId="31" fillId="7" borderId="9" xfId="0" applyFont="1" applyFill="1" applyBorder="1" applyAlignment="1">
      <alignment horizontal="left" vertical="center" wrapText="1"/>
    </xf>
    <xf numFmtId="0" fontId="11" fillId="0" borderId="0" xfId="0" applyFont="1" applyAlignment="1">
      <alignment horizontal="left" vertical="center" wrapText="1"/>
    </xf>
    <xf numFmtId="0" fontId="30" fillId="7" borderId="0" xfId="0" applyFont="1" applyFill="1" applyAlignment="1">
      <alignment horizontal="left" vertical="top" wrapText="1"/>
    </xf>
    <xf numFmtId="0" fontId="53" fillId="9" borderId="19" xfId="0" applyFont="1" applyFill="1" applyBorder="1" applyAlignment="1">
      <alignment horizontal="center" vertical="center" wrapText="1"/>
    </xf>
    <xf numFmtId="0" fontId="53" fillId="9" borderId="41" xfId="0" applyFont="1" applyFill="1" applyBorder="1" applyAlignment="1">
      <alignment horizontal="center" vertical="center" wrapText="1"/>
    </xf>
    <xf numFmtId="0" fontId="53" fillId="9" borderId="26" xfId="0" applyFont="1" applyFill="1" applyBorder="1" applyAlignment="1">
      <alignment horizontal="center" vertical="center" wrapText="1"/>
    </xf>
    <xf numFmtId="0" fontId="53" fillId="9" borderId="44" xfId="0" applyFont="1" applyFill="1" applyBorder="1" applyAlignment="1">
      <alignment horizontal="center" vertical="center" wrapText="1"/>
    </xf>
    <xf numFmtId="0" fontId="53" fillId="9" borderId="20" xfId="0" applyFont="1" applyFill="1" applyBorder="1" applyAlignment="1">
      <alignment horizontal="center" vertical="center" wrapText="1"/>
    </xf>
    <xf numFmtId="0" fontId="53" fillId="9" borderId="32" xfId="0" applyFont="1" applyFill="1" applyBorder="1" applyAlignment="1">
      <alignment horizontal="center" vertical="center" wrapText="1"/>
    </xf>
    <xf numFmtId="0" fontId="53" fillId="9" borderId="17" xfId="0" applyFont="1" applyFill="1" applyBorder="1" applyAlignment="1">
      <alignment horizontal="center" vertical="center" wrapText="1"/>
    </xf>
    <xf numFmtId="0" fontId="53" fillId="9" borderId="33" xfId="0" applyFont="1" applyFill="1" applyBorder="1" applyAlignment="1">
      <alignment horizontal="center" vertical="center" wrapText="1"/>
    </xf>
    <xf numFmtId="9" fontId="53" fillId="8" borderId="20" xfId="0" applyNumberFormat="1" applyFont="1" applyFill="1" applyBorder="1" applyAlignment="1">
      <alignment horizontal="center" vertical="center" wrapText="1"/>
    </xf>
    <xf numFmtId="9" fontId="53" fillId="8" borderId="32" xfId="0" applyNumberFormat="1" applyFont="1" applyFill="1" applyBorder="1" applyAlignment="1">
      <alignment horizontal="center" vertical="center" wrapText="1"/>
    </xf>
    <xf numFmtId="9" fontId="53" fillId="8" borderId="17" xfId="0" applyNumberFormat="1" applyFont="1" applyFill="1" applyBorder="1" applyAlignment="1">
      <alignment horizontal="center" vertical="center" wrapText="1"/>
    </xf>
    <xf numFmtId="9" fontId="53" fillId="8" borderId="33" xfId="0" applyNumberFormat="1" applyFont="1" applyFill="1" applyBorder="1" applyAlignment="1">
      <alignment horizontal="center" vertical="center" wrapText="1"/>
    </xf>
    <xf numFmtId="9" fontId="53" fillId="8" borderId="0" xfId="0" applyNumberFormat="1" applyFont="1" applyFill="1" applyAlignment="1">
      <alignment horizontal="center" vertical="center" wrapText="1"/>
    </xf>
    <xf numFmtId="9" fontId="24" fillId="13" borderId="41" xfId="0" applyNumberFormat="1" applyFont="1" applyFill="1" applyBorder="1" applyAlignment="1">
      <alignment horizontal="center" vertical="center" wrapText="1"/>
    </xf>
    <xf numFmtId="9" fontId="24" fillId="13" borderId="42" xfId="0" applyNumberFormat="1" applyFont="1" applyFill="1" applyBorder="1" applyAlignment="1">
      <alignment horizontal="center" vertical="center" wrapText="1"/>
    </xf>
    <xf numFmtId="9" fontId="24" fillId="13" borderId="40" xfId="0" applyNumberFormat="1" applyFont="1" applyFill="1" applyBorder="1" applyAlignment="1">
      <alignment horizontal="center" vertical="center" wrapText="1"/>
    </xf>
    <xf numFmtId="9" fontId="24" fillId="13" borderId="43" xfId="0" applyNumberFormat="1" applyFont="1" applyFill="1" applyBorder="1" applyAlignment="1">
      <alignment horizontal="center" vertical="center" wrapText="1"/>
    </xf>
    <xf numFmtId="9" fontId="24" fillId="13" borderId="44" xfId="0" applyNumberFormat="1" applyFont="1" applyFill="1" applyBorder="1" applyAlignment="1">
      <alignment horizontal="center" vertical="center" wrapText="1"/>
    </xf>
    <xf numFmtId="9" fontId="24" fillId="13" borderId="45" xfId="0" applyNumberFormat="1" applyFont="1" applyFill="1" applyBorder="1" applyAlignment="1">
      <alignment horizontal="center" vertical="center" wrapText="1"/>
    </xf>
    <xf numFmtId="9" fontId="53" fillId="12" borderId="20" xfId="0" applyNumberFormat="1" applyFont="1" applyFill="1" applyBorder="1" applyAlignment="1">
      <alignment horizontal="center" vertical="center" wrapText="1"/>
    </xf>
    <xf numFmtId="9" fontId="53" fillId="12" borderId="32" xfId="0" applyNumberFormat="1" applyFont="1" applyFill="1" applyBorder="1" applyAlignment="1">
      <alignment horizontal="center" vertical="center" wrapText="1"/>
    </xf>
    <xf numFmtId="9" fontId="53" fillId="12" borderId="17" xfId="0" applyNumberFormat="1" applyFont="1" applyFill="1" applyBorder="1" applyAlignment="1">
      <alignment horizontal="center" vertical="center" wrapText="1"/>
    </xf>
    <xf numFmtId="9" fontId="53" fillId="12" borderId="33" xfId="0" applyNumberFormat="1" applyFont="1" applyFill="1" applyBorder="1" applyAlignment="1">
      <alignment horizontal="center" vertical="center" wrapText="1"/>
    </xf>
    <xf numFmtId="9" fontId="53" fillId="12" borderId="24" xfId="0" applyNumberFormat="1" applyFont="1" applyFill="1" applyBorder="1" applyAlignment="1">
      <alignment horizontal="center" vertical="center" wrapText="1"/>
    </xf>
    <xf numFmtId="9" fontId="53" fillId="12" borderId="34" xfId="0" applyNumberFormat="1" applyFont="1" applyFill="1" applyBorder="1" applyAlignment="1">
      <alignment horizontal="center" vertical="center" wrapText="1"/>
    </xf>
    <xf numFmtId="0" fontId="54" fillId="12" borderId="20" xfId="0" applyFont="1" applyFill="1" applyBorder="1" applyAlignment="1">
      <alignment horizontal="center" vertical="center" wrapText="1"/>
    </xf>
    <xf numFmtId="0" fontId="54" fillId="12" borderId="27" xfId="0" applyFont="1" applyFill="1" applyBorder="1" applyAlignment="1">
      <alignment horizontal="center" vertical="center" wrapText="1"/>
    </xf>
    <xf numFmtId="0" fontId="54" fillId="12" borderId="21" xfId="0" applyFont="1" applyFill="1" applyBorder="1" applyAlignment="1">
      <alignment horizontal="center" vertical="center" wrapText="1"/>
    </xf>
    <xf numFmtId="0" fontId="54" fillId="12" borderId="17" xfId="0" applyFont="1" applyFill="1" applyBorder="1" applyAlignment="1">
      <alignment horizontal="center" vertical="center" wrapText="1"/>
    </xf>
    <xf numFmtId="0" fontId="54" fillId="12" borderId="0" xfId="0" applyFont="1" applyFill="1" applyAlignment="1">
      <alignment horizontal="center" vertical="center" wrapText="1"/>
    </xf>
    <xf numFmtId="0" fontId="54" fillId="12" borderId="18" xfId="0" applyFont="1" applyFill="1" applyBorder="1" applyAlignment="1">
      <alignment horizontal="center" vertical="center" wrapText="1"/>
    </xf>
    <xf numFmtId="0" fontId="54" fillId="12" borderId="24" xfId="0" applyFont="1" applyFill="1" applyBorder="1" applyAlignment="1">
      <alignment horizontal="center" vertical="center" wrapText="1"/>
    </xf>
    <xf numFmtId="0" fontId="54" fillId="12" borderId="28" xfId="0" applyFont="1" applyFill="1" applyBorder="1" applyAlignment="1">
      <alignment horizontal="center" vertical="center" wrapText="1"/>
    </xf>
    <xf numFmtId="0" fontId="54" fillId="12" borderId="25" xfId="0" applyFont="1" applyFill="1" applyBorder="1" applyAlignment="1">
      <alignment horizontal="center" vertical="center" wrapText="1"/>
    </xf>
    <xf numFmtId="0" fontId="54" fillId="11" borderId="20" xfId="0" applyFont="1" applyFill="1" applyBorder="1" applyAlignment="1">
      <alignment horizontal="center" vertical="center" wrapText="1"/>
    </xf>
    <xf numFmtId="0" fontId="54" fillId="11" borderId="27" xfId="0" applyFont="1" applyFill="1" applyBorder="1" applyAlignment="1">
      <alignment horizontal="center" vertical="center" wrapText="1"/>
    </xf>
    <xf numFmtId="0" fontId="54" fillId="11" borderId="21" xfId="0" applyFont="1" applyFill="1" applyBorder="1" applyAlignment="1">
      <alignment horizontal="center" vertical="center" wrapText="1"/>
    </xf>
    <xf numFmtId="0" fontId="54" fillId="11" borderId="17" xfId="0" applyFont="1" applyFill="1" applyBorder="1" applyAlignment="1">
      <alignment horizontal="center" vertical="center" wrapText="1"/>
    </xf>
    <xf numFmtId="0" fontId="54" fillId="11" borderId="0" xfId="0" applyFont="1" applyFill="1" applyAlignment="1">
      <alignment horizontal="center" vertical="center" wrapText="1"/>
    </xf>
    <xf numFmtId="0" fontId="54" fillId="11" borderId="18" xfId="0" applyFont="1" applyFill="1" applyBorder="1" applyAlignment="1">
      <alignment horizontal="center" vertical="center" wrapText="1"/>
    </xf>
    <xf numFmtId="0" fontId="54" fillId="11" borderId="24" xfId="0" applyFont="1" applyFill="1" applyBorder="1" applyAlignment="1">
      <alignment horizontal="center" vertical="center" wrapText="1"/>
    </xf>
    <xf numFmtId="0" fontId="54" fillId="11" borderId="28" xfId="0" applyFont="1" applyFill="1" applyBorder="1" applyAlignment="1">
      <alignment horizontal="center" vertical="center" wrapText="1"/>
    </xf>
    <xf numFmtId="0" fontId="54" fillId="11" borderId="25" xfId="0" applyFont="1" applyFill="1" applyBorder="1" applyAlignment="1">
      <alignment horizontal="center" vertical="center" wrapText="1"/>
    </xf>
    <xf numFmtId="9" fontId="53" fillId="11" borderId="27" xfId="0" applyNumberFormat="1" applyFont="1" applyFill="1" applyBorder="1" applyAlignment="1">
      <alignment horizontal="center" vertical="center" wrapText="1"/>
    </xf>
    <xf numFmtId="9" fontId="53" fillId="11" borderId="32" xfId="0" applyNumberFormat="1" applyFont="1" applyFill="1" applyBorder="1" applyAlignment="1">
      <alignment horizontal="center" vertical="center" wrapText="1"/>
    </xf>
    <xf numFmtId="9" fontId="53" fillId="11" borderId="0" xfId="0" applyNumberFormat="1" applyFont="1" applyFill="1" applyAlignment="1">
      <alignment horizontal="center" vertical="center" wrapText="1"/>
    </xf>
    <xf numFmtId="9" fontId="53" fillId="11" borderId="33" xfId="0" applyNumberFormat="1" applyFont="1" applyFill="1" applyBorder="1" applyAlignment="1">
      <alignment horizontal="center" vertical="center" wrapText="1"/>
    </xf>
    <xf numFmtId="9" fontId="53" fillId="11" borderId="28" xfId="0" applyNumberFormat="1" applyFont="1" applyFill="1" applyBorder="1" applyAlignment="1">
      <alignment horizontal="center" vertical="center" wrapText="1"/>
    </xf>
    <xf numFmtId="9" fontId="53" fillId="11" borderId="34" xfId="0" applyNumberFormat="1" applyFont="1" applyFill="1" applyBorder="1" applyAlignment="1">
      <alignment horizontal="center" vertical="center" wrapText="1"/>
    </xf>
    <xf numFmtId="164" fontId="30" fillId="4" borderId="11" xfId="0" applyNumberFormat="1" applyFont="1" applyFill="1" applyBorder="1" applyAlignment="1" applyProtection="1">
      <alignment horizontal="center" vertical="center" wrapText="1"/>
      <protection locked="0"/>
    </xf>
    <xf numFmtId="0" fontId="31" fillId="4" borderId="0" xfId="0" applyFont="1" applyFill="1" applyAlignment="1">
      <alignment horizontal="right" vertical="center" wrapText="1"/>
    </xf>
    <xf numFmtId="0" fontId="31" fillId="7" borderId="9" xfId="0" applyFont="1" applyFill="1" applyBorder="1" applyAlignment="1">
      <alignment horizontal="right" vertical="center" wrapText="1"/>
    </xf>
    <xf numFmtId="0" fontId="31" fillId="4" borderId="0" xfId="0" applyFont="1" applyFill="1" applyAlignment="1">
      <alignment horizontal="center" vertical="top" wrapText="1"/>
    </xf>
    <xf numFmtId="49" fontId="11" fillId="6" borderId="0" xfId="0" applyNumberFormat="1" applyFont="1" applyFill="1" applyAlignment="1" applyProtection="1">
      <alignment horizontal="left" vertical="center" wrapText="1"/>
      <protection locked="0"/>
    </xf>
    <xf numFmtId="0" fontId="6" fillId="13" borderId="19" xfId="0" applyFont="1" applyFill="1" applyBorder="1" applyAlignment="1">
      <alignment horizontal="center" vertical="center" wrapText="1"/>
    </xf>
    <xf numFmtId="0" fontId="6" fillId="13" borderId="41" xfId="0" applyFont="1" applyFill="1" applyBorder="1" applyAlignment="1">
      <alignment horizontal="center" vertical="center" wrapText="1"/>
    </xf>
    <xf numFmtId="0" fontId="6" fillId="13" borderId="23" xfId="0" applyFont="1" applyFill="1" applyBorder="1" applyAlignment="1">
      <alignment horizontal="center" vertical="center" wrapText="1"/>
    </xf>
    <xf numFmtId="0" fontId="6" fillId="13" borderId="40" xfId="0" applyFont="1" applyFill="1" applyBorder="1" applyAlignment="1">
      <alignment horizontal="center" vertical="center" wrapText="1"/>
    </xf>
    <xf numFmtId="0" fontId="6" fillId="13" borderId="26" xfId="0" applyFont="1" applyFill="1" applyBorder="1" applyAlignment="1">
      <alignment horizontal="center" vertical="center" wrapText="1"/>
    </xf>
    <xf numFmtId="0" fontId="6" fillId="13" borderId="44" xfId="0" applyFont="1" applyFill="1" applyBorder="1" applyAlignment="1">
      <alignment horizontal="center" vertical="center" wrapText="1"/>
    </xf>
    <xf numFmtId="0" fontId="63" fillId="13" borderId="41" xfId="0" applyFont="1" applyFill="1" applyBorder="1" applyAlignment="1">
      <alignment horizontal="center" vertical="center" wrapText="1"/>
    </xf>
    <xf numFmtId="0" fontId="63" fillId="13" borderId="40" xfId="0" applyFont="1" applyFill="1" applyBorder="1" applyAlignment="1">
      <alignment horizontal="center" vertical="center" wrapText="1"/>
    </xf>
    <xf numFmtId="0" fontId="63" fillId="13" borderId="44" xfId="0" applyFont="1" applyFill="1" applyBorder="1" applyAlignment="1">
      <alignment horizontal="center" vertical="center" wrapText="1"/>
    </xf>
    <xf numFmtId="0" fontId="52" fillId="12" borderId="19" xfId="0" applyFont="1" applyFill="1" applyBorder="1" applyAlignment="1">
      <alignment horizontal="center" vertical="center" wrapText="1"/>
    </xf>
    <xf numFmtId="0" fontId="52" fillId="12" borderId="41" xfId="0" applyFont="1" applyFill="1" applyBorder="1" applyAlignment="1">
      <alignment horizontal="center" vertical="center" wrapText="1"/>
    </xf>
    <xf numFmtId="0" fontId="52" fillId="12" borderId="23" xfId="0" applyFont="1" applyFill="1" applyBorder="1" applyAlignment="1">
      <alignment horizontal="center" vertical="center" wrapText="1"/>
    </xf>
    <xf numFmtId="0" fontId="52" fillId="12" borderId="40" xfId="0" applyFont="1" applyFill="1" applyBorder="1" applyAlignment="1">
      <alignment horizontal="center" vertical="center" wrapText="1"/>
    </xf>
    <xf numFmtId="0" fontId="52" fillId="12" borderId="26" xfId="0" applyFont="1" applyFill="1" applyBorder="1" applyAlignment="1">
      <alignment horizontal="center" vertical="center" wrapText="1"/>
    </xf>
    <xf numFmtId="0" fontId="52" fillId="12" borderId="44" xfId="0" applyFont="1" applyFill="1" applyBorder="1" applyAlignment="1">
      <alignment horizontal="center" vertical="center" wrapText="1"/>
    </xf>
    <xf numFmtId="0" fontId="0" fillId="12" borderId="41" xfId="0" applyFill="1" applyBorder="1" applyAlignment="1">
      <alignment horizontal="center" vertical="center" wrapText="1"/>
    </xf>
    <xf numFmtId="0" fontId="0" fillId="12" borderId="40" xfId="0" applyFill="1" applyBorder="1" applyAlignment="1">
      <alignment horizontal="center" vertical="center" wrapText="1"/>
    </xf>
    <xf numFmtId="0" fontId="0" fillId="12" borderId="44" xfId="0"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27"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30" fillId="10" borderId="0" xfId="0" applyFont="1" applyFill="1" applyAlignment="1">
      <alignment horizontal="center" vertical="center" wrapText="1"/>
    </xf>
    <xf numFmtId="0" fontId="30" fillId="10" borderId="24"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52" fillId="10" borderId="39" xfId="0" applyFont="1" applyFill="1" applyBorder="1" applyAlignment="1">
      <alignment horizontal="center" vertical="center" wrapText="1"/>
    </xf>
    <xf numFmtId="0" fontId="52" fillId="10" borderId="21" xfId="0" applyFont="1" applyFill="1" applyBorder="1" applyAlignment="1">
      <alignment horizontal="center" vertical="center" wrapText="1"/>
    </xf>
    <xf numFmtId="0" fontId="52" fillId="10" borderId="37" xfId="0" applyFont="1" applyFill="1" applyBorder="1" applyAlignment="1">
      <alignment horizontal="center" vertical="center" wrapText="1"/>
    </xf>
    <xf numFmtId="0" fontId="52" fillId="10" borderId="18" xfId="0" applyFont="1" applyFill="1" applyBorder="1" applyAlignment="1">
      <alignment horizontal="center" vertical="center" wrapText="1"/>
    </xf>
    <xf numFmtId="0" fontId="52" fillId="10" borderId="38" xfId="0" applyFont="1" applyFill="1" applyBorder="1" applyAlignment="1">
      <alignment horizontal="center" vertical="center" wrapText="1"/>
    </xf>
    <xf numFmtId="0" fontId="52" fillId="10" borderId="25" xfId="0" applyFont="1" applyFill="1" applyBorder="1" applyAlignment="1">
      <alignment horizontal="center" vertical="center" wrapText="1"/>
    </xf>
    <xf numFmtId="0" fontId="53" fillId="9" borderId="20" xfId="0" applyFont="1" applyFill="1" applyBorder="1" applyAlignment="1">
      <alignment horizontal="center" vertical="center"/>
    </xf>
    <xf numFmtId="0" fontId="53" fillId="9" borderId="21" xfId="0" applyFont="1" applyFill="1" applyBorder="1" applyAlignment="1">
      <alignment horizontal="center" vertical="center"/>
    </xf>
    <xf numFmtId="0" fontId="53" fillId="9" borderId="17" xfId="0" applyFont="1" applyFill="1" applyBorder="1" applyAlignment="1">
      <alignment horizontal="center" vertical="center"/>
    </xf>
    <xf numFmtId="0" fontId="53" fillId="9" borderId="18" xfId="0" applyFont="1" applyFill="1" applyBorder="1" applyAlignment="1">
      <alignment horizontal="center" vertical="center"/>
    </xf>
    <xf numFmtId="0" fontId="53" fillId="9" borderId="27" xfId="0" applyFont="1" applyFill="1" applyBorder="1" applyAlignment="1">
      <alignment horizontal="center" vertical="center" wrapText="1"/>
    </xf>
    <xf numFmtId="0" fontId="53" fillId="9" borderId="0" xfId="0" applyFont="1" applyFill="1" applyAlignment="1">
      <alignment horizontal="center" vertical="center" wrapText="1"/>
    </xf>
    <xf numFmtId="0" fontId="54" fillId="8" borderId="20" xfId="0" applyFont="1" applyFill="1" applyBorder="1" applyAlignment="1">
      <alignment horizontal="center" vertical="center" wrapText="1"/>
    </xf>
    <xf numFmtId="0" fontId="54" fillId="8" borderId="21" xfId="0" applyFont="1" applyFill="1" applyBorder="1" applyAlignment="1">
      <alignment horizontal="center" vertical="center" wrapText="1"/>
    </xf>
    <xf numFmtId="0" fontId="54" fillId="8" borderId="17" xfId="0" applyFont="1" applyFill="1" applyBorder="1" applyAlignment="1">
      <alignment horizontal="center" vertical="center" wrapText="1"/>
    </xf>
    <xf numFmtId="0" fontId="54" fillId="8" borderId="18" xfId="0" applyFont="1" applyFill="1" applyBorder="1" applyAlignment="1">
      <alignment horizontal="center" vertical="center" wrapText="1"/>
    </xf>
    <xf numFmtId="0" fontId="54" fillId="8" borderId="24" xfId="0" applyFont="1" applyFill="1" applyBorder="1" applyAlignment="1">
      <alignment horizontal="center" vertical="center" wrapText="1"/>
    </xf>
    <xf numFmtId="0" fontId="54" fillId="8" borderId="25" xfId="0" applyFont="1" applyFill="1" applyBorder="1" applyAlignment="1">
      <alignment horizontal="center" vertical="center" wrapText="1"/>
    </xf>
    <xf numFmtId="169" fontId="54" fillId="8" borderId="27" xfId="0" quotePrefix="1" applyNumberFormat="1" applyFont="1" applyFill="1" applyBorder="1" applyAlignment="1">
      <alignment horizontal="center" vertical="center"/>
    </xf>
    <xf numFmtId="169" fontId="54" fillId="8" borderId="21" xfId="0" quotePrefix="1" applyNumberFormat="1" applyFont="1" applyFill="1" applyBorder="1" applyAlignment="1">
      <alignment horizontal="center" vertical="center"/>
    </xf>
    <xf numFmtId="169" fontId="54" fillId="8" borderId="0" xfId="0" quotePrefix="1" applyNumberFormat="1" applyFont="1" applyFill="1" applyAlignment="1">
      <alignment horizontal="center" vertical="center"/>
    </xf>
    <xf numFmtId="169" fontId="54" fillId="8" borderId="18" xfId="0" quotePrefix="1" applyNumberFormat="1" applyFont="1" applyFill="1" applyBorder="1" applyAlignment="1">
      <alignment horizontal="center" vertical="center"/>
    </xf>
    <xf numFmtId="169" fontId="54" fillId="8" borderId="17" xfId="0" quotePrefix="1" applyNumberFormat="1" applyFont="1" applyFill="1" applyBorder="1" applyAlignment="1">
      <alignment horizontal="center" vertical="center"/>
    </xf>
    <xf numFmtId="169" fontId="54" fillId="8" borderId="28" xfId="0" quotePrefix="1" applyNumberFormat="1" applyFont="1" applyFill="1" applyBorder="1" applyAlignment="1">
      <alignment horizontal="center" vertical="center"/>
    </xf>
    <xf numFmtId="169" fontId="54" fillId="8" borderId="25" xfId="0" quotePrefix="1" applyNumberFormat="1" applyFont="1" applyFill="1" applyBorder="1" applyAlignment="1">
      <alignment horizontal="center" vertical="center"/>
    </xf>
    <xf numFmtId="0" fontId="9" fillId="7" borderId="0" xfId="0" applyFont="1" applyFill="1" applyAlignment="1">
      <alignment horizontal="left" vertical="center"/>
    </xf>
    <xf numFmtId="0" fontId="54" fillId="13" borderId="41" xfId="0" applyFont="1" applyFill="1" applyBorder="1" applyAlignment="1">
      <alignment horizontal="center" vertical="center" wrapText="1"/>
    </xf>
    <xf numFmtId="0" fontId="54" fillId="13" borderId="40" xfId="0" applyFont="1" applyFill="1" applyBorder="1" applyAlignment="1">
      <alignment horizontal="center" vertical="center" wrapText="1"/>
    </xf>
    <xf numFmtId="0" fontId="54" fillId="13" borderId="44" xfId="0" applyFont="1" applyFill="1" applyBorder="1" applyAlignment="1">
      <alignment horizontal="center" vertical="center" wrapText="1"/>
    </xf>
    <xf numFmtId="170" fontId="32" fillId="0" borderId="0" xfId="0" applyNumberFormat="1" applyFont="1" applyAlignment="1">
      <alignment horizontal="left" wrapText="1"/>
    </xf>
    <xf numFmtId="0" fontId="31" fillId="0" borderId="0" xfId="0" applyFont="1" applyAlignment="1">
      <alignment horizontal="right" wrapText="1"/>
    </xf>
    <xf numFmtId="0" fontId="31" fillId="0" borderId="0" xfId="0" applyFont="1" applyAlignment="1">
      <alignment horizontal="right"/>
    </xf>
  </cellXfs>
  <cellStyles count="3">
    <cellStyle name="Hyperlink" xfId="2" builtinId="8"/>
    <cellStyle name="Normal" xfId="0" builtinId="0"/>
    <cellStyle name="Percent" xfId="1" builtinId="5"/>
  </cellStyles>
  <dxfs count="3">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s>
  <tableStyles count="0" defaultTableStyle="TableStyleMedium2" defaultPivotStyle="PivotStyleLight16"/>
  <colors>
    <mruColors>
      <color rgb="FFA4BCC2"/>
      <color rgb="FF64C887"/>
      <color rgb="FF003057"/>
      <color rgb="FFFFFF99"/>
      <color rgb="FF007698"/>
      <color rgb="FFEFAB00"/>
      <color rgb="FF50C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AD$7"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15458</xdr:colOff>
      <xdr:row>48</xdr:row>
      <xdr:rowOff>0</xdr:rowOff>
    </xdr:from>
    <xdr:to>
      <xdr:col>3</xdr:col>
      <xdr:colOff>476250</xdr:colOff>
      <xdr:row>51</xdr:row>
      <xdr:rowOff>138252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351" y="9130393"/>
          <a:ext cx="1685435" cy="832216"/>
        </a:xfrm>
        <a:prstGeom prst="rect">
          <a:avLst/>
        </a:prstGeom>
      </xdr:spPr>
    </xdr:pic>
    <xdr:clientData/>
  </xdr:twoCellAnchor>
  <xdr:twoCellAnchor editAs="oneCell">
    <xdr:from>
      <xdr:col>22</xdr:col>
      <xdr:colOff>404131</xdr:colOff>
      <xdr:row>44</xdr:row>
      <xdr:rowOff>126142</xdr:rowOff>
    </xdr:from>
    <xdr:to>
      <xdr:col>23</xdr:col>
      <xdr:colOff>351176</xdr:colOff>
      <xdr:row>47</xdr:row>
      <xdr:rowOff>148593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17952" y="8875535"/>
          <a:ext cx="559367" cy="5939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81400</xdr:colOff>
      <xdr:row>63</xdr:row>
      <xdr:rowOff>43963</xdr:rowOff>
    </xdr:from>
    <xdr:to>
      <xdr:col>31</xdr:col>
      <xdr:colOff>17609</xdr:colOff>
      <xdr:row>66</xdr:row>
      <xdr:rowOff>206767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33535" y="6462348"/>
          <a:ext cx="1932943" cy="847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18</xdr:col>
          <xdr:colOff>9525</xdr:colOff>
          <xdr:row>6</xdr:row>
          <xdr:rowOff>0</xdr:rowOff>
        </xdr:from>
        <xdr:to>
          <xdr:col>19</xdr:col>
          <xdr:colOff>238125</xdr:colOff>
          <xdr:row>7</xdr:row>
          <xdr:rowOff>19050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3-2-1 Buydown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523875</xdr:colOff>
          <xdr:row>6</xdr:row>
          <xdr:rowOff>0</xdr:rowOff>
        </xdr:from>
        <xdr:to>
          <xdr:col>21</xdr:col>
          <xdr:colOff>571500</xdr:colOff>
          <xdr:row>7</xdr:row>
          <xdr:rowOff>28575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2-1 Buydown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xdr:row>
          <xdr:rowOff>9525</xdr:rowOff>
        </xdr:from>
        <xdr:to>
          <xdr:col>26</xdr:col>
          <xdr:colOff>314325</xdr:colOff>
          <xdr:row>7</xdr:row>
          <xdr:rowOff>28575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1-0 Buydown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409575</xdr:colOff>
          <xdr:row>6</xdr:row>
          <xdr:rowOff>9525</xdr:rowOff>
        </xdr:from>
        <xdr:to>
          <xdr:col>28</xdr:col>
          <xdr:colOff>371475</xdr:colOff>
          <xdr:row>7</xdr:row>
          <xdr:rowOff>38100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Show 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676275</xdr:colOff>
          <xdr:row>6</xdr:row>
          <xdr:rowOff>0</xdr:rowOff>
        </xdr:from>
        <xdr:to>
          <xdr:col>24</xdr:col>
          <xdr:colOff>0</xdr:colOff>
          <xdr:row>7</xdr:row>
          <xdr:rowOff>28575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1-1 Buydown</a:t>
              </a:r>
            </a:p>
          </xdr:txBody>
        </xdr:sp>
        <xdr:clientData/>
      </xdr:twoCellAnchor>
    </mc:Choice>
    <mc:Fallback/>
  </mc:AlternateContent>
  <xdr:twoCellAnchor editAs="oneCell">
    <xdr:from>
      <xdr:col>2</xdr:col>
      <xdr:colOff>58616</xdr:colOff>
      <xdr:row>63</xdr:row>
      <xdr:rowOff>131885</xdr:rowOff>
    </xdr:from>
    <xdr:to>
      <xdr:col>3</xdr:col>
      <xdr:colOff>436100</xdr:colOff>
      <xdr:row>68</xdr:row>
      <xdr:rowOff>73270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231" y="6550270"/>
          <a:ext cx="1091712" cy="1091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6AA155-00DE-4D47-8DE9-4CD5AEBDEDC2}" name="Table1" displayName="Table1" ref="A1:A7" totalsRowShown="0" headerRowDxfId="2" dataDxfId="1">
  <autoFilter ref="A1:A7" xr:uid="{A56AA155-00DE-4D47-8DE9-4CD5AEBDEDC2}"/>
  <tableColumns count="1">
    <tableColumn id="1" xr3:uid="{57717C46-2503-491A-A186-0C3F9F733161}" name="Max IPC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ortgage.tropens.com/" TargetMode="External"/><Relationship Id="rId1" Type="http://schemas.openxmlformats.org/officeDocument/2006/relationships/hyperlink" Target="mailto:mortgage@tropen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2.bin"/><Relationship Id="rId7" Type="http://schemas.openxmlformats.org/officeDocument/2006/relationships/ctrlProp" Target="../ctrlProps/ctrlProp1.xml"/><Relationship Id="rId2" Type="http://schemas.openxmlformats.org/officeDocument/2006/relationships/hyperlink" Target="https://mortgage.tropens.com/" TargetMode="External"/><Relationship Id="rId1" Type="http://schemas.openxmlformats.org/officeDocument/2006/relationships/hyperlink" Target="mailto:mortgage@tropens.com" TargetMode="External"/><Relationship Id="rId6" Type="http://schemas.openxmlformats.org/officeDocument/2006/relationships/vmlDrawing" Target="../drawings/vmlDrawing2.vml"/><Relationship Id="rId11" Type="http://schemas.openxmlformats.org/officeDocument/2006/relationships/ctrlProp" Target="../ctrlProps/ctrlProp5.xml"/><Relationship Id="rId5" Type="http://schemas.openxmlformats.org/officeDocument/2006/relationships/vmlDrawing" Target="../drawings/vmlDrawing1.vml"/><Relationship Id="rId10" Type="http://schemas.openxmlformats.org/officeDocument/2006/relationships/ctrlProp" Target="../ctrlProps/ctrlProp4.xml"/><Relationship Id="rId4" Type="http://schemas.openxmlformats.org/officeDocument/2006/relationships/drawing" Target="../drawings/drawing2.xml"/><Relationship Id="rId9"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E371C-310B-45CD-9CCC-9EFAE1A24F99}">
  <sheetPr>
    <pageSetUpPr fitToPage="1"/>
  </sheetPr>
  <dimension ref="A2:AG60"/>
  <sheetViews>
    <sheetView zoomScale="70" zoomScaleNormal="70" workbookViewId="0">
      <selection activeCell="AB23" sqref="AB23"/>
    </sheetView>
  </sheetViews>
  <sheetFormatPr defaultRowHeight="15" x14ac:dyDescent="0.25"/>
  <cols>
    <col min="1" max="1" width="2.7109375" customWidth="1"/>
    <col min="5" max="5" width="2.85546875" customWidth="1"/>
    <col min="25" max="25" width="2.7109375" customWidth="1"/>
  </cols>
  <sheetData>
    <row r="2" spans="1:33" s="1" customFormat="1" ht="28.5" x14ac:dyDescent="0.25">
      <c r="A2" s="6"/>
      <c r="B2" s="216" t="s">
        <v>15</v>
      </c>
      <c r="C2" s="216"/>
      <c r="D2" s="216"/>
      <c r="E2" s="216"/>
      <c r="F2" s="216"/>
      <c r="G2" s="216"/>
      <c r="H2" s="216"/>
      <c r="I2" s="216"/>
      <c r="J2" s="216"/>
      <c r="K2" s="216"/>
      <c r="L2" s="216"/>
      <c r="M2" s="216"/>
      <c r="N2" s="216"/>
      <c r="O2" s="216"/>
      <c r="P2" s="216"/>
      <c r="Q2" s="216"/>
      <c r="R2" s="216"/>
      <c r="S2" s="216"/>
      <c r="T2" s="216"/>
      <c r="U2" s="216"/>
      <c r="V2" s="216"/>
      <c r="W2" s="216"/>
      <c r="X2" s="216"/>
      <c r="Y2" s="183"/>
      <c r="Z2" s="183"/>
      <c r="AA2" s="183"/>
      <c r="AB2" s="183"/>
      <c r="AC2" s="183"/>
      <c r="AD2" s="183"/>
      <c r="AE2" s="183"/>
      <c r="AF2" s="6"/>
      <c r="AG2" s="6"/>
    </row>
    <row r="3" spans="1:33" s="1" customFormat="1" ht="15" customHeight="1" x14ac:dyDescent="0.25">
      <c r="B3" s="214" t="s">
        <v>78</v>
      </c>
      <c r="C3" s="214"/>
      <c r="D3" s="214"/>
      <c r="E3" s="214"/>
      <c r="F3" s="214"/>
      <c r="G3" s="214"/>
      <c r="H3" s="214"/>
      <c r="I3" s="214"/>
      <c r="J3" s="214"/>
      <c r="K3" s="214"/>
      <c r="L3" s="214"/>
      <c r="M3" s="214"/>
      <c r="N3" s="214"/>
      <c r="O3" s="214"/>
      <c r="P3" s="214"/>
      <c r="Q3" s="214"/>
      <c r="R3" s="214"/>
      <c r="S3" s="214"/>
      <c r="T3" s="214"/>
      <c r="U3" s="214"/>
      <c r="V3" s="214"/>
      <c r="W3" s="214"/>
      <c r="X3" s="214"/>
      <c r="Y3" s="184"/>
      <c r="Z3" s="184"/>
      <c r="AA3" s="184"/>
      <c r="AB3" s="184"/>
      <c r="AC3" s="184"/>
      <c r="AD3" s="184"/>
      <c r="AE3" s="184"/>
      <c r="AF3" s="6"/>
      <c r="AG3" s="6"/>
    </row>
    <row r="4" spans="1:33" s="1" customFormat="1" ht="17.25" customHeight="1" x14ac:dyDescent="0.25">
      <c r="A4" s="100"/>
      <c r="B4" s="214"/>
      <c r="C4" s="214"/>
      <c r="D4" s="214"/>
      <c r="E4" s="214"/>
      <c r="F4" s="214"/>
      <c r="G4" s="214"/>
      <c r="H4" s="214"/>
      <c r="I4" s="214"/>
      <c r="J4" s="214"/>
      <c r="K4" s="214"/>
      <c r="L4" s="214"/>
      <c r="M4" s="214"/>
      <c r="N4" s="214"/>
      <c r="O4" s="214"/>
      <c r="P4" s="214"/>
      <c r="Q4" s="214"/>
      <c r="R4" s="214"/>
      <c r="S4" s="214"/>
      <c r="T4" s="214"/>
      <c r="U4" s="214"/>
      <c r="V4" s="214"/>
      <c r="W4" s="214"/>
      <c r="X4" s="214"/>
      <c r="Y4" s="184"/>
      <c r="Z4" s="184"/>
      <c r="AA4" s="184"/>
      <c r="AB4" s="184"/>
      <c r="AC4" s="184"/>
      <c r="AD4" s="184"/>
      <c r="AE4" s="184"/>
      <c r="AF4" s="6"/>
      <c r="AG4" s="6"/>
    </row>
    <row r="5" spans="1:33" s="1" customFormat="1" ht="15" customHeight="1" x14ac:dyDescent="0.25">
      <c r="A5" s="100"/>
      <c r="B5" s="214"/>
      <c r="C5" s="214"/>
      <c r="D5" s="214"/>
      <c r="E5" s="214"/>
      <c r="F5" s="214"/>
      <c r="G5" s="214"/>
      <c r="H5" s="214"/>
      <c r="I5" s="214"/>
      <c r="J5" s="214"/>
      <c r="K5" s="214"/>
      <c r="L5" s="214"/>
      <c r="M5" s="214"/>
      <c r="N5" s="214"/>
      <c r="O5" s="214"/>
      <c r="P5" s="214"/>
      <c r="Q5" s="214"/>
      <c r="R5" s="214"/>
      <c r="S5" s="214"/>
      <c r="T5" s="214"/>
      <c r="U5" s="214"/>
      <c r="V5" s="214"/>
      <c r="W5" s="214"/>
      <c r="X5" s="214"/>
      <c r="Y5" s="184"/>
      <c r="Z5" s="184"/>
      <c r="AA5" s="184"/>
      <c r="AB5" s="184"/>
      <c r="AC5" s="184"/>
      <c r="AD5" s="184"/>
      <c r="AE5" s="184"/>
      <c r="AF5" s="6"/>
      <c r="AG5" s="6"/>
    </row>
    <row r="6" spans="1:33" s="1" customFormat="1" ht="15" customHeight="1" x14ac:dyDescent="0.25">
      <c r="A6" s="100"/>
      <c r="B6" s="214"/>
      <c r="C6" s="214"/>
      <c r="D6" s="214"/>
      <c r="E6" s="214"/>
      <c r="F6" s="214"/>
      <c r="G6" s="214"/>
      <c r="H6" s="214"/>
      <c r="I6" s="214"/>
      <c r="J6" s="214"/>
      <c r="K6" s="214"/>
      <c r="L6" s="214"/>
      <c r="M6" s="214"/>
      <c r="N6" s="214"/>
      <c r="O6" s="214"/>
      <c r="P6" s="214"/>
      <c r="Q6" s="214"/>
      <c r="R6" s="214"/>
      <c r="S6" s="214"/>
      <c r="T6" s="214"/>
      <c r="U6" s="214"/>
      <c r="V6" s="214"/>
      <c r="W6" s="214"/>
      <c r="X6" s="214"/>
      <c r="Y6" s="184"/>
      <c r="Z6" s="184"/>
      <c r="AA6" s="184"/>
      <c r="AB6" s="184"/>
      <c r="AC6" s="184"/>
      <c r="AD6" s="184"/>
      <c r="AE6" s="184"/>
      <c r="AF6" s="6"/>
      <c r="AG6" s="6"/>
    </row>
    <row r="7" spans="1:33" s="1" customFormat="1" ht="15" customHeight="1" x14ac:dyDescent="0.25">
      <c r="A7" s="100"/>
      <c r="B7" s="214"/>
      <c r="C7" s="214"/>
      <c r="D7" s="214"/>
      <c r="E7" s="214"/>
      <c r="F7" s="214"/>
      <c r="G7" s="214"/>
      <c r="H7" s="214"/>
      <c r="I7" s="214"/>
      <c r="J7" s="214"/>
      <c r="K7" s="214"/>
      <c r="L7" s="214"/>
      <c r="M7" s="214"/>
      <c r="N7" s="214"/>
      <c r="O7" s="214"/>
      <c r="P7" s="214"/>
      <c r="Q7" s="214"/>
      <c r="R7" s="214"/>
      <c r="S7" s="214"/>
      <c r="T7" s="214"/>
      <c r="U7" s="214"/>
      <c r="V7" s="214"/>
      <c r="W7" s="214"/>
      <c r="X7" s="214"/>
      <c r="Y7" s="184"/>
      <c r="Z7" s="184"/>
      <c r="AA7" s="184"/>
      <c r="AB7" s="184"/>
      <c r="AC7" s="184"/>
      <c r="AD7" s="184"/>
      <c r="AE7" s="184"/>
      <c r="AF7" s="6"/>
      <c r="AG7" s="6"/>
    </row>
    <row r="8" spans="1:33" s="1" customFormat="1" ht="15" customHeight="1" x14ac:dyDescent="0.25">
      <c r="A8" s="100"/>
      <c r="B8" s="214"/>
      <c r="C8" s="214"/>
      <c r="D8" s="214"/>
      <c r="E8" s="214"/>
      <c r="F8" s="214"/>
      <c r="G8" s="214"/>
      <c r="H8" s="214"/>
      <c r="I8" s="214"/>
      <c r="J8" s="214"/>
      <c r="K8" s="214"/>
      <c r="L8" s="214"/>
      <c r="M8" s="214"/>
      <c r="N8" s="214"/>
      <c r="O8" s="214"/>
      <c r="P8" s="214"/>
      <c r="Q8" s="214"/>
      <c r="R8" s="214"/>
      <c r="S8" s="214"/>
      <c r="T8" s="214"/>
      <c r="U8" s="214"/>
      <c r="V8" s="214"/>
      <c r="W8" s="214"/>
      <c r="X8" s="214"/>
      <c r="Y8" s="184"/>
      <c r="Z8" s="184"/>
      <c r="AA8" s="184"/>
      <c r="AB8" s="184"/>
      <c r="AC8" s="184"/>
      <c r="AD8" s="184"/>
      <c r="AE8" s="184"/>
      <c r="AF8" s="6"/>
      <c r="AG8" s="6"/>
    </row>
    <row r="9" spans="1:33" s="1" customFormat="1" ht="15" customHeight="1" x14ac:dyDescent="0.25">
      <c r="A9" s="100"/>
      <c r="B9" s="214"/>
      <c r="C9" s="214"/>
      <c r="D9" s="214"/>
      <c r="E9" s="214"/>
      <c r="F9" s="214"/>
      <c r="G9" s="214"/>
      <c r="H9" s="214"/>
      <c r="I9" s="214"/>
      <c r="J9" s="214"/>
      <c r="K9" s="214"/>
      <c r="L9" s="214"/>
      <c r="M9" s="214"/>
      <c r="N9" s="214"/>
      <c r="O9" s="214"/>
      <c r="P9" s="214"/>
      <c r="Q9" s="214"/>
      <c r="R9" s="214"/>
      <c r="S9" s="214"/>
      <c r="T9" s="214"/>
      <c r="U9" s="214"/>
      <c r="V9" s="214"/>
      <c r="W9" s="214"/>
      <c r="X9" s="214"/>
      <c r="Y9" s="184"/>
      <c r="Z9" s="184"/>
      <c r="AA9" s="184"/>
      <c r="AB9" s="184"/>
      <c r="AC9" s="184"/>
      <c r="AD9" s="184"/>
      <c r="AE9" s="184"/>
      <c r="AF9" s="6"/>
      <c r="AG9" s="6"/>
    </row>
    <row r="10" spans="1:33" s="1" customFormat="1" ht="15" customHeight="1" x14ac:dyDescent="0.25">
      <c r="A10" s="100"/>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184"/>
      <c r="Z10" s="184"/>
      <c r="AA10" s="184"/>
      <c r="AB10" s="184"/>
      <c r="AC10" s="184"/>
      <c r="AD10" s="184"/>
      <c r="AE10" s="184"/>
      <c r="AF10" s="6"/>
      <c r="AG10" s="6"/>
    </row>
    <row r="11" spans="1:33" s="1" customFormat="1" ht="15" customHeight="1" x14ac:dyDescent="0.25">
      <c r="A11" s="100"/>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184"/>
      <c r="Z11" s="184"/>
      <c r="AA11" s="184"/>
      <c r="AB11" s="184"/>
      <c r="AC11" s="184"/>
      <c r="AD11" s="184"/>
      <c r="AE11" s="184"/>
      <c r="AF11" s="6"/>
      <c r="AG11" s="6"/>
    </row>
    <row r="12" spans="1:33" s="1" customFormat="1" ht="15" customHeight="1" x14ac:dyDescent="0.25">
      <c r="A12" s="100"/>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184"/>
      <c r="Z12" s="184"/>
      <c r="AA12" s="184"/>
      <c r="AB12" s="184"/>
      <c r="AC12" s="184"/>
      <c r="AD12" s="184"/>
      <c r="AE12" s="184"/>
      <c r="AF12" s="6"/>
      <c r="AG12" s="6"/>
    </row>
    <row r="13" spans="1:33" s="1" customFormat="1" ht="15" customHeight="1" x14ac:dyDescent="0.25">
      <c r="A13" s="100"/>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184"/>
      <c r="Z13" s="184"/>
      <c r="AA13" s="184"/>
      <c r="AB13" s="184"/>
      <c r="AC13" s="184"/>
      <c r="AD13" s="184"/>
      <c r="AE13" s="184"/>
      <c r="AF13" s="6"/>
      <c r="AG13" s="6"/>
    </row>
    <row r="14" spans="1:33" s="1" customFormat="1" ht="57.75" customHeight="1" x14ac:dyDescent="0.25">
      <c r="A14" s="100"/>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184"/>
      <c r="Z14" s="184"/>
      <c r="AA14" s="184"/>
      <c r="AB14" s="184"/>
      <c r="AC14" s="184"/>
      <c r="AD14" s="184"/>
      <c r="AE14" s="184"/>
      <c r="AF14" s="6"/>
      <c r="AG14" s="6"/>
    </row>
    <row r="15" spans="1:33" ht="15" customHeight="1" x14ac:dyDescent="0.25">
      <c r="B15" s="214"/>
      <c r="C15" s="214"/>
      <c r="D15" s="214"/>
      <c r="E15" s="214"/>
      <c r="F15" s="214"/>
      <c r="G15" s="214"/>
      <c r="H15" s="214"/>
      <c r="I15" s="214"/>
      <c r="J15" s="214"/>
      <c r="K15" s="214"/>
      <c r="L15" s="214"/>
      <c r="M15" s="214"/>
      <c r="N15" s="214"/>
      <c r="O15" s="214"/>
      <c r="P15" s="214"/>
      <c r="Q15" s="214"/>
      <c r="R15" s="214"/>
      <c r="S15" s="214"/>
      <c r="T15" s="214"/>
      <c r="U15" s="214"/>
      <c r="V15" s="214"/>
      <c r="W15" s="214"/>
      <c r="X15" s="214"/>
    </row>
    <row r="16" spans="1:33" ht="15" customHeight="1" x14ac:dyDescent="0.25">
      <c r="B16" s="214"/>
      <c r="C16" s="214"/>
      <c r="D16" s="214"/>
      <c r="E16" s="214"/>
      <c r="F16" s="214"/>
      <c r="G16" s="214"/>
      <c r="H16" s="214"/>
      <c r="I16" s="214"/>
      <c r="J16" s="214"/>
      <c r="K16" s="214"/>
      <c r="L16" s="214"/>
      <c r="M16" s="214"/>
      <c r="N16" s="214"/>
      <c r="O16" s="214"/>
      <c r="P16" s="214"/>
      <c r="Q16" s="214"/>
      <c r="R16" s="214"/>
      <c r="S16" s="214"/>
      <c r="T16" s="214"/>
      <c r="U16" s="214"/>
      <c r="V16" s="214"/>
      <c r="W16" s="214"/>
      <c r="X16" s="214"/>
    </row>
    <row r="17" spans="2:24" ht="15" customHeight="1" x14ac:dyDescent="0.25">
      <c r="B17" s="214"/>
      <c r="C17" s="214"/>
      <c r="D17" s="214"/>
      <c r="E17" s="214"/>
      <c r="F17" s="214"/>
      <c r="G17" s="214"/>
      <c r="H17" s="214"/>
      <c r="I17" s="214"/>
      <c r="J17" s="214"/>
      <c r="K17" s="214"/>
      <c r="L17" s="214"/>
      <c r="M17" s="214"/>
      <c r="N17" s="214"/>
      <c r="O17" s="214"/>
      <c r="P17" s="214"/>
      <c r="Q17" s="214"/>
      <c r="R17" s="214"/>
      <c r="S17" s="214"/>
      <c r="T17" s="214"/>
      <c r="U17" s="214"/>
      <c r="V17" s="214"/>
      <c r="W17" s="214"/>
      <c r="X17" s="214"/>
    </row>
    <row r="18" spans="2:24" ht="15" customHeight="1" x14ac:dyDescent="0.25">
      <c r="B18" s="214"/>
      <c r="C18" s="214"/>
      <c r="D18" s="214"/>
      <c r="E18" s="214"/>
      <c r="F18" s="214"/>
      <c r="G18" s="214"/>
      <c r="H18" s="214"/>
      <c r="I18" s="214"/>
      <c r="J18" s="214"/>
      <c r="K18" s="214"/>
      <c r="L18" s="214"/>
      <c r="M18" s="214"/>
      <c r="N18" s="214"/>
      <c r="O18" s="214"/>
      <c r="P18" s="214"/>
      <c r="Q18" s="214"/>
      <c r="R18" s="214"/>
      <c r="S18" s="214"/>
      <c r="T18" s="214"/>
      <c r="U18" s="214"/>
      <c r="V18" s="214"/>
      <c r="W18" s="214"/>
      <c r="X18" s="214"/>
    </row>
    <row r="19" spans="2:24" ht="15" customHeight="1" x14ac:dyDescent="0.25">
      <c r="B19" s="214"/>
      <c r="C19" s="214"/>
      <c r="D19" s="214"/>
      <c r="E19" s="214"/>
      <c r="F19" s="214"/>
      <c r="G19" s="214"/>
      <c r="H19" s="214"/>
      <c r="I19" s="214"/>
      <c r="J19" s="214"/>
      <c r="K19" s="214"/>
      <c r="L19" s="214"/>
      <c r="M19" s="214"/>
      <c r="N19" s="214"/>
      <c r="O19" s="214"/>
      <c r="P19" s="214"/>
      <c r="Q19" s="214"/>
      <c r="R19" s="214"/>
      <c r="S19" s="214"/>
      <c r="T19" s="214"/>
      <c r="U19" s="214"/>
      <c r="V19" s="214"/>
      <c r="W19" s="214"/>
      <c r="X19" s="214"/>
    </row>
    <row r="20" spans="2:24" ht="15" customHeight="1" x14ac:dyDescent="0.25">
      <c r="B20" s="214"/>
      <c r="C20" s="214"/>
      <c r="D20" s="214"/>
      <c r="E20" s="214"/>
      <c r="F20" s="214"/>
      <c r="G20" s="214"/>
      <c r="H20" s="214"/>
      <c r="I20" s="214"/>
      <c r="J20" s="214"/>
      <c r="K20" s="214"/>
      <c r="L20" s="214"/>
      <c r="M20" s="214"/>
      <c r="N20" s="214"/>
      <c r="O20" s="214"/>
      <c r="P20" s="214"/>
      <c r="Q20" s="214"/>
      <c r="R20" s="214"/>
      <c r="S20" s="214"/>
      <c r="T20" s="214"/>
      <c r="U20" s="214"/>
      <c r="V20" s="214"/>
      <c r="W20" s="214"/>
      <c r="X20" s="214"/>
    </row>
    <row r="21" spans="2:24" ht="15" customHeight="1" x14ac:dyDescent="0.25">
      <c r="B21" s="214"/>
      <c r="C21" s="214"/>
      <c r="D21" s="214"/>
      <c r="E21" s="214"/>
      <c r="F21" s="214"/>
      <c r="G21" s="214"/>
      <c r="H21" s="214"/>
      <c r="I21" s="214"/>
      <c r="J21" s="214"/>
      <c r="K21" s="214"/>
      <c r="L21" s="214"/>
      <c r="M21" s="214"/>
      <c r="N21" s="214"/>
      <c r="O21" s="214"/>
      <c r="P21" s="214"/>
      <c r="Q21" s="214"/>
      <c r="R21" s="214"/>
      <c r="S21" s="214"/>
      <c r="T21" s="214"/>
      <c r="U21" s="214"/>
      <c r="V21" s="214"/>
      <c r="W21" s="214"/>
      <c r="X21" s="214"/>
    </row>
    <row r="22" spans="2:24" ht="15" customHeight="1" x14ac:dyDescent="0.25">
      <c r="B22" s="214"/>
      <c r="C22" s="214"/>
      <c r="D22" s="214"/>
      <c r="E22" s="214"/>
      <c r="F22" s="214"/>
      <c r="G22" s="214"/>
      <c r="H22" s="214"/>
      <c r="I22" s="214"/>
      <c r="J22" s="214"/>
      <c r="K22" s="214"/>
      <c r="L22" s="214"/>
      <c r="M22" s="214"/>
      <c r="N22" s="214"/>
      <c r="O22" s="214"/>
      <c r="P22" s="214"/>
      <c r="Q22" s="214"/>
      <c r="R22" s="214"/>
      <c r="S22" s="214"/>
      <c r="T22" s="214"/>
      <c r="U22" s="214"/>
      <c r="V22" s="214"/>
      <c r="W22" s="214"/>
      <c r="X22" s="214"/>
    </row>
    <row r="23" spans="2:24" ht="15" customHeight="1" x14ac:dyDescent="0.25">
      <c r="B23" s="214"/>
      <c r="C23" s="214"/>
      <c r="D23" s="214"/>
      <c r="E23" s="214"/>
      <c r="F23" s="214"/>
      <c r="G23" s="214"/>
      <c r="H23" s="214"/>
      <c r="I23" s="214"/>
      <c r="J23" s="214"/>
      <c r="K23" s="214"/>
      <c r="L23" s="214"/>
      <c r="M23" s="214"/>
      <c r="N23" s="214"/>
      <c r="O23" s="214"/>
      <c r="P23" s="214"/>
      <c r="Q23" s="214"/>
      <c r="R23" s="214"/>
      <c r="S23" s="214"/>
      <c r="T23" s="214"/>
      <c r="U23" s="214"/>
      <c r="V23" s="214"/>
      <c r="W23" s="214"/>
      <c r="X23" s="214"/>
    </row>
    <row r="24" spans="2:24" ht="15" customHeight="1" x14ac:dyDescent="0.25">
      <c r="B24" s="214"/>
      <c r="C24" s="214"/>
      <c r="D24" s="214"/>
      <c r="E24" s="214"/>
      <c r="F24" s="214"/>
      <c r="G24" s="214"/>
      <c r="H24" s="214"/>
      <c r="I24" s="214"/>
      <c r="J24" s="214"/>
      <c r="K24" s="214"/>
      <c r="L24" s="214"/>
      <c r="M24" s="214"/>
      <c r="N24" s="214"/>
      <c r="O24" s="214"/>
      <c r="P24" s="214"/>
      <c r="Q24" s="214"/>
      <c r="R24" s="214"/>
      <c r="S24" s="214"/>
      <c r="T24" s="214"/>
      <c r="U24" s="214"/>
      <c r="V24" s="214"/>
      <c r="W24" s="214"/>
      <c r="X24" s="214"/>
    </row>
    <row r="25" spans="2:24" ht="15" customHeight="1" x14ac:dyDescent="0.25">
      <c r="B25" s="214"/>
      <c r="C25" s="214"/>
      <c r="D25" s="214"/>
      <c r="E25" s="214"/>
      <c r="F25" s="214"/>
      <c r="G25" s="214"/>
      <c r="H25" s="214"/>
      <c r="I25" s="214"/>
      <c r="J25" s="214"/>
      <c r="K25" s="214"/>
      <c r="L25" s="214"/>
      <c r="M25" s="214"/>
      <c r="N25" s="214"/>
      <c r="O25" s="214"/>
      <c r="P25" s="214"/>
      <c r="Q25" s="214"/>
      <c r="R25" s="214"/>
      <c r="S25" s="214"/>
      <c r="T25" s="214"/>
      <c r="U25" s="214"/>
      <c r="V25" s="214"/>
      <c r="W25" s="214"/>
      <c r="X25" s="214"/>
    </row>
    <row r="26" spans="2:24" ht="15" customHeight="1" x14ac:dyDescent="0.25">
      <c r="B26" s="214"/>
      <c r="C26" s="214"/>
      <c r="D26" s="214"/>
      <c r="E26" s="214"/>
      <c r="F26" s="214"/>
      <c r="G26" s="214"/>
      <c r="H26" s="214"/>
      <c r="I26" s="214"/>
      <c r="J26" s="214"/>
      <c r="K26" s="214"/>
      <c r="L26" s="214"/>
      <c r="M26" s="214"/>
      <c r="N26" s="214"/>
      <c r="O26" s="214"/>
      <c r="P26" s="214"/>
      <c r="Q26" s="214"/>
      <c r="R26" s="214"/>
      <c r="S26" s="214"/>
      <c r="T26" s="214"/>
      <c r="U26" s="214"/>
      <c r="V26" s="214"/>
      <c r="W26" s="214"/>
      <c r="X26" s="214"/>
    </row>
    <row r="27" spans="2:24" ht="15" customHeight="1" x14ac:dyDescent="0.25">
      <c r="B27" s="214"/>
      <c r="C27" s="214"/>
      <c r="D27" s="214"/>
      <c r="E27" s="214"/>
      <c r="F27" s="214"/>
      <c r="G27" s="214"/>
      <c r="H27" s="214"/>
      <c r="I27" s="214"/>
      <c r="J27" s="214"/>
      <c r="K27" s="214"/>
      <c r="L27" s="214"/>
      <c r="M27" s="214"/>
      <c r="N27" s="214"/>
      <c r="O27" s="214"/>
      <c r="P27" s="214"/>
      <c r="Q27" s="214"/>
      <c r="R27" s="214"/>
      <c r="S27" s="214"/>
      <c r="T27" s="214"/>
      <c r="U27" s="214"/>
      <c r="V27" s="214"/>
      <c r="W27" s="214"/>
      <c r="X27" s="214"/>
    </row>
    <row r="28" spans="2:24" ht="15" customHeight="1" x14ac:dyDescent="0.25">
      <c r="B28" s="214"/>
      <c r="C28" s="214"/>
      <c r="D28" s="214"/>
      <c r="E28" s="214"/>
      <c r="F28" s="214"/>
      <c r="G28" s="214"/>
      <c r="H28" s="214"/>
      <c r="I28" s="214"/>
      <c r="J28" s="214"/>
      <c r="K28" s="214"/>
      <c r="L28" s="214"/>
      <c r="M28" s="214"/>
      <c r="N28" s="214"/>
      <c r="O28" s="214"/>
      <c r="P28" s="214"/>
      <c r="Q28" s="214"/>
      <c r="R28" s="214"/>
      <c r="S28" s="214"/>
      <c r="T28" s="214"/>
      <c r="U28" s="214"/>
      <c r="V28" s="214"/>
      <c r="W28" s="214"/>
      <c r="X28" s="214"/>
    </row>
    <row r="29" spans="2:24" ht="15" customHeight="1" x14ac:dyDescent="0.25">
      <c r="B29" s="214"/>
      <c r="C29" s="214"/>
      <c r="D29" s="214"/>
      <c r="E29" s="214"/>
      <c r="F29" s="214"/>
      <c r="G29" s="214"/>
      <c r="H29" s="214"/>
      <c r="I29" s="214"/>
      <c r="J29" s="214"/>
      <c r="K29" s="214"/>
      <c r="L29" s="214"/>
      <c r="M29" s="214"/>
      <c r="N29" s="214"/>
      <c r="O29" s="214"/>
      <c r="P29" s="214"/>
      <c r="Q29" s="214"/>
      <c r="R29" s="214"/>
      <c r="S29" s="214"/>
      <c r="T29" s="214"/>
      <c r="U29" s="214"/>
      <c r="V29" s="214"/>
      <c r="W29" s="214"/>
      <c r="X29" s="214"/>
    </row>
    <row r="30" spans="2:24" ht="15" customHeight="1" x14ac:dyDescent="0.25">
      <c r="B30" s="214"/>
      <c r="C30" s="214"/>
      <c r="D30" s="214"/>
      <c r="E30" s="214"/>
      <c r="F30" s="214"/>
      <c r="G30" s="214"/>
      <c r="H30" s="214"/>
      <c r="I30" s="214"/>
      <c r="J30" s="214"/>
      <c r="K30" s="214"/>
      <c r="L30" s="214"/>
      <c r="M30" s="214"/>
      <c r="N30" s="214"/>
      <c r="O30" s="214"/>
      <c r="P30" s="214"/>
      <c r="Q30" s="214"/>
      <c r="R30" s="214"/>
      <c r="S30" s="214"/>
      <c r="T30" s="214"/>
      <c r="U30" s="214"/>
      <c r="V30" s="214"/>
      <c r="W30" s="214"/>
      <c r="X30" s="214"/>
    </row>
    <row r="31" spans="2:24" ht="15" customHeight="1" x14ac:dyDescent="0.25">
      <c r="B31" s="214"/>
      <c r="C31" s="214"/>
      <c r="D31" s="214"/>
      <c r="E31" s="214"/>
      <c r="F31" s="214"/>
      <c r="G31" s="214"/>
      <c r="H31" s="214"/>
      <c r="I31" s="214"/>
      <c r="J31" s="214"/>
      <c r="K31" s="214"/>
      <c r="L31" s="214"/>
      <c r="M31" s="214"/>
      <c r="N31" s="214"/>
      <c r="O31" s="214"/>
      <c r="P31" s="214"/>
      <c r="Q31" s="214"/>
      <c r="R31" s="214"/>
      <c r="S31" s="214"/>
      <c r="T31" s="214"/>
      <c r="U31" s="214"/>
      <c r="V31" s="214"/>
      <c r="W31" s="214"/>
      <c r="X31" s="214"/>
    </row>
    <row r="32" spans="2:24" ht="15" customHeight="1" x14ac:dyDescent="0.25">
      <c r="B32" s="214"/>
      <c r="C32" s="214"/>
      <c r="D32" s="214"/>
      <c r="E32" s="214"/>
      <c r="F32" s="214"/>
      <c r="G32" s="214"/>
      <c r="H32" s="214"/>
      <c r="I32" s="214"/>
      <c r="J32" s="214"/>
      <c r="K32" s="214"/>
      <c r="L32" s="214"/>
      <c r="M32" s="214"/>
      <c r="N32" s="214"/>
      <c r="O32" s="214"/>
      <c r="P32" s="214"/>
      <c r="Q32" s="214"/>
      <c r="R32" s="214"/>
      <c r="S32" s="214"/>
      <c r="T32" s="214"/>
      <c r="U32" s="214"/>
      <c r="V32" s="214"/>
      <c r="W32" s="214"/>
      <c r="X32" s="214"/>
    </row>
    <row r="33" spans="2:24" ht="15" customHeight="1" x14ac:dyDescent="0.25">
      <c r="B33" s="214"/>
      <c r="C33" s="214"/>
      <c r="D33" s="214"/>
      <c r="E33" s="214"/>
      <c r="F33" s="214"/>
      <c r="G33" s="214"/>
      <c r="H33" s="214"/>
      <c r="I33" s="214"/>
      <c r="J33" s="214"/>
      <c r="K33" s="214"/>
      <c r="L33" s="214"/>
      <c r="M33" s="214"/>
      <c r="N33" s="214"/>
      <c r="O33" s="214"/>
      <c r="P33" s="214"/>
      <c r="Q33" s="214"/>
      <c r="R33" s="214"/>
      <c r="S33" s="214"/>
      <c r="T33" s="214"/>
      <c r="U33" s="214"/>
      <c r="V33" s="214"/>
      <c r="W33" s="214"/>
      <c r="X33" s="214"/>
    </row>
    <row r="34" spans="2:24" ht="15" customHeight="1" x14ac:dyDescent="0.25">
      <c r="B34" s="214"/>
      <c r="C34" s="214"/>
      <c r="D34" s="214"/>
      <c r="E34" s="214"/>
      <c r="F34" s="214"/>
      <c r="G34" s="214"/>
      <c r="H34" s="214"/>
      <c r="I34" s="214"/>
      <c r="J34" s="214"/>
      <c r="K34" s="214"/>
      <c r="L34" s="214"/>
      <c r="M34" s="214"/>
      <c r="N34" s="214"/>
      <c r="O34" s="214"/>
      <c r="P34" s="214"/>
      <c r="Q34" s="214"/>
      <c r="R34" s="214"/>
      <c r="S34" s="214"/>
      <c r="T34" s="214"/>
      <c r="U34" s="214"/>
      <c r="V34" s="214"/>
      <c r="W34" s="214"/>
      <c r="X34" s="214"/>
    </row>
    <row r="35" spans="2:24" ht="15" customHeight="1" x14ac:dyDescent="0.25">
      <c r="B35" s="214"/>
      <c r="C35" s="214"/>
      <c r="D35" s="214"/>
      <c r="E35" s="214"/>
      <c r="F35" s="214"/>
      <c r="G35" s="214"/>
      <c r="H35" s="214"/>
      <c r="I35" s="214"/>
      <c r="J35" s="214"/>
      <c r="K35" s="214"/>
      <c r="L35" s="214"/>
      <c r="M35" s="214"/>
      <c r="N35" s="214"/>
      <c r="O35" s="214"/>
      <c r="P35" s="214"/>
      <c r="Q35" s="214"/>
      <c r="R35" s="214"/>
      <c r="S35" s="214"/>
      <c r="T35" s="214"/>
      <c r="U35" s="214"/>
      <c r="V35" s="214"/>
      <c r="W35" s="214"/>
      <c r="X35" s="214"/>
    </row>
    <row r="36" spans="2:24" ht="15" customHeight="1" x14ac:dyDescent="0.25">
      <c r="B36" s="214"/>
      <c r="C36" s="214"/>
      <c r="D36" s="214"/>
      <c r="E36" s="214"/>
      <c r="F36" s="214"/>
      <c r="G36" s="214"/>
      <c r="H36" s="214"/>
      <c r="I36" s="214"/>
      <c r="J36" s="214"/>
      <c r="K36" s="214"/>
      <c r="L36" s="214"/>
      <c r="M36" s="214"/>
      <c r="N36" s="214"/>
      <c r="O36" s="214"/>
      <c r="P36" s="214"/>
      <c r="Q36" s="214"/>
      <c r="R36" s="214"/>
      <c r="S36" s="214"/>
      <c r="T36" s="214"/>
      <c r="U36" s="214"/>
      <c r="V36" s="214"/>
      <c r="W36" s="214"/>
      <c r="X36" s="214"/>
    </row>
    <row r="37" spans="2:24" ht="15" customHeight="1" x14ac:dyDescent="0.25">
      <c r="B37" s="214"/>
      <c r="C37" s="214"/>
      <c r="D37" s="214"/>
      <c r="E37" s="214"/>
      <c r="F37" s="214"/>
      <c r="G37" s="214"/>
      <c r="H37" s="214"/>
      <c r="I37" s="214"/>
      <c r="J37" s="214"/>
      <c r="K37" s="214"/>
      <c r="L37" s="214"/>
      <c r="M37" s="214"/>
      <c r="N37" s="214"/>
      <c r="O37" s="214"/>
      <c r="P37" s="214"/>
      <c r="Q37" s="214"/>
      <c r="R37" s="214"/>
      <c r="S37" s="214"/>
      <c r="T37" s="214"/>
      <c r="U37" s="214"/>
      <c r="V37" s="214"/>
      <c r="W37" s="214"/>
      <c r="X37" s="214"/>
    </row>
    <row r="38" spans="2:24" ht="15" customHeight="1" x14ac:dyDescent="0.25">
      <c r="B38" s="214"/>
      <c r="C38" s="214"/>
      <c r="D38" s="214"/>
      <c r="E38" s="214"/>
      <c r="F38" s="214"/>
      <c r="G38" s="214"/>
      <c r="H38" s="214"/>
      <c r="I38" s="214"/>
      <c r="J38" s="214"/>
      <c r="K38" s="214"/>
      <c r="L38" s="214"/>
      <c r="M38" s="214"/>
      <c r="N38" s="214"/>
      <c r="O38" s="214"/>
      <c r="P38" s="214"/>
      <c r="Q38" s="214"/>
      <c r="R38" s="214"/>
      <c r="S38" s="214"/>
      <c r="T38" s="214"/>
      <c r="U38" s="214"/>
      <c r="V38" s="214"/>
      <c r="W38" s="214"/>
      <c r="X38" s="214"/>
    </row>
    <row r="39" spans="2:24" ht="15" customHeight="1" x14ac:dyDescent="0.25">
      <c r="B39" s="214"/>
      <c r="C39" s="214"/>
      <c r="D39" s="214"/>
      <c r="E39" s="214"/>
      <c r="F39" s="214"/>
      <c r="G39" s="214"/>
      <c r="H39" s="214"/>
      <c r="I39" s="214"/>
      <c r="J39" s="214"/>
      <c r="K39" s="214"/>
      <c r="L39" s="214"/>
      <c r="M39" s="214"/>
      <c r="N39" s="214"/>
      <c r="O39" s="214"/>
      <c r="P39" s="214"/>
      <c r="Q39" s="214"/>
      <c r="R39" s="214"/>
      <c r="S39" s="214"/>
      <c r="T39" s="214"/>
      <c r="U39" s="214"/>
      <c r="V39" s="214"/>
      <c r="W39" s="214"/>
      <c r="X39" s="214"/>
    </row>
    <row r="40" spans="2:24" ht="15" customHeight="1" x14ac:dyDescent="0.25">
      <c r="B40" s="214"/>
      <c r="C40" s="214"/>
      <c r="D40" s="214"/>
      <c r="E40" s="214"/>
      <c r="F40" s="214"/>
      <c r="G40" s="214"/>
      <c r="H40" s="214"/>
      <c r="I40" s="214"/>
      <c r="J40" s="214"/>
      <c r="K40" s="214"/>
      <c r="L40" s="214"/>
      <c r="M40" s="214"/>
      <c r="N40" s="214"/>
      <c r="O40" s="214"/>
      <c r="P40" s="214"/>
      <c r="Q40" s="214"/>
      <c r="R40" s="214"/>
      <c r="S40" s="214"/>
      <c r="T40" s="214"/>
      <c r="U40" s="214"/>
      <c r="V40" s="214"/>
      <c r="W40" s="214"/>
      <c r="X40" s="214"/>
    </row>
    <row r="41" spans="2:24" ht="15" customHeight="1" x14ac:dyDescent="0.25">
      <c r="B41" s="214"/>
      <c r="C41" s="214"/>
      <c r="D41" s="214"/>
      <c r="E41" s="214"/>
      <c r="F41" s="214"/>
      <c r="G41" s="214"/>
      <c r="H41" s="214"/>
      <c r="I41" s="214"/>
      <c r="J41" s="214"/>
      <c r="K41" s="214"/>
      <c r="L41" s="214"/>
      <c r="M41" s="214"/>
      <c r="N41" s="214"/>
      <c r="O41" s="214"/>
      <c r="P41" s="214"/>
      <c r="Q41" s="214"/>
      <c r="R41" s="214"/>
      <c r="S41" s="214"/>
      <c r="T41" s="214"/>
      <c r="U41" s="214"/>
      <c r="V41" s="214"/>
      <c r="W41" s="214"/>
      <c r="X41" s="214"/>
    </row>
    <row r="42" spans="2:24" ht="15" customHeight="1" x14ac:dyDescent="0.25">
      <c r="B42" s="214"/>
      <c r="C42" s="214"/>
      <c r="D42" s="214"/>
      <c r="E42" s="214"/>
      <c r="F42" s="214"/>
      <c r="G42" s="214"/>
      <c r="H42" s="214"/>
      <c r="I42" s="214"/>
      <c r="J42" s="214"/>
      <c r="K42" s="214"/>
      <c r="L42" s="214"/>
      <c r="M42" s="214"/>
      <c r="N42" s="214"/>
      <c r="O42" s="214"/>
      <c r="P42" s="214"/>
      <c r="Q42" s="214"/>
      <c r="R42" s="214"/>
      <c r="S42" s="214"/>
      <c r="T42" s="214"/>
      <c r="U42" s="214"/>
      <c r="V42" s="214"/>
      <c r="W42" s="214"/>
      <c r="X42" s="214"/>
    </row>
    <row r="43" spans="2:24" ht="15" customHeight="1" x14ac:dyDescent="0.25">
      <c r="B43" s="214"/>
      <c r="C43" s="214"/>
      <c r="D43" s="214"/>
      <c r="E43" s="214"/>
      <c r="F43" s="214"/>
      <c r="G43" s="214"/>
      <c r="H43" s="214"/>
      <c r="I43" s="214"/>
      <c r="J43" s="214"/>
      <c r="K43" s="214"/>
      <c r="L43" s="214"/>
      <c r="M43" s="214"/>
      <c r="N43" s="214"/>
      <c r="O43" s="214"/>
      <c r="P43" s="214"/>
      <c r="Q43" s="214"/>
      <c r="R43" s="214"/>
      <c r="S43" s="214"/>
      <c r="T43" s="214"/>
      <c r="U43" s="214"/>
      <c r="V43" s="214"/>
      <c r="W43" s="214"/>
      <c r="X43" s="214"/>
    </row>
    <row r="44" spans="2:24" ht="15" customHeight="1" x14ac:dyDescent="0.25">
      <c r="B44" s="214"/>
      <c r="C44" s="214"/>
      <c r="D44" s="214"/>
      <c r="E44" s="214"/>
      <c r="F44" s="214"/>
      <c r="G44" s="214"/>
      <c r="H44" s="214"/>
      <c r="I44" s="214"/>
      <c r="J44" s="214"/>
      <c r="K44" s="214"/>
      <c r="L44" s="214"/>
      <c r="M44" s="214"/>
      <c r="N44" s="214"/>
      <c r="O44" s="214"/>
      <c r="P44" s="214"/>
      <c r="Q44" s="214"/>
      <c r="R44" s="214"/>
      <c r="S44" s="214"/>
      <c r="T44" s="214"/>
      <c r="U44" s="214"/>
      <c r="V44" s="214"/>
      <c r="W44" s="214"/>
      <c r="X44" s="214"/>
    </row>
    <row r="45" spans="2:24" ht="15" customHeight="1" x14ac:dyDescent="0.25">
      <c r="B45" s="214"/>
      <c r="C45" s="214"/>
      <c r="D45" s="214"/>
      <c r="E45" s="214"/>
      <c r="F45" s="214"/>
      <c r="G45" s="214"/>
      <c r="H45" s="214"/>
      <c r="I45" s="214"/>
      <c r="J45" s="214"/>
      <c r="K45" s="214"/>
      <c r="L45" s="214"/>
      <c r="M45" s="214"/>
      <c r="N45" s="214"/>
      <c r="O45" s="214"/>
      <c r="P45" s="214"/>
      <c r="Q45" s="214"/>
      <c r="R45" s="214"/>
      <c r="S45" s="214"/>
      <c r="T45" s="214"/>
      <c r="U45" s="214"/>
      <c r="V45" s="214"/>
      <c r="W45" s="214"/>
      <c r="X45" s="214"/>
    </row>
    <row r="46" spans="2:24" ht="15" customHeight="1" x14ac:dyDescent="0.25">
      <c r="B46" s="214"/>
      <c r="C46" s="214"/>
      <c r="D46" s="214"/>
      <c r="E46" s="214"/>
      <c r="F46" s="214"/>
      <c r="G46" s="214"/>
      <c r="H46" s="214"/>
      <c r="I46" s="214"/>
      <c r="J46" s="214"/>
      <c r="K46" s="214"/>
      <c r="L46" s="214"/>
      <c r="M46" s="214"/>
      <c r="N46" s="214"/>
      <c r="O46" s="214"/>
      <c r="P46" s="214"/>
      <c r="Q46" s="214"/>
      <c r="R46" s="214"/>
      <c r="S46" s="214"/>
      <c r="T46" s="214"/>
      <c r="U46" s="214"/>
      <c r="V46" s="214"/>
      <c r="W46" s="214"/>
      <c r="X46" s="214"/>
    </row>
    <row r="47" spans="2:24" ht="15" customHeight="1" x14ac:dyDescent="0.25">
      <c r="B47" s="214"/>
      <c r="C47" s="214"/>
      <c r="D47" s="214"/>
      <c r="E47" s="214"/>
      <c r="F47" s="214"/>
      <c r="G47" s="214"/>
      <c r="H47" s="214"/>
      <c r="I47" s="214"/>
      <c r="J47" s="214"/>
      <c r="K47" s="214"/>
      <c r="L47" s="214"/>
      <c r="M47" s="214"/>
      <c r="N47" s="214"/>
      <c r="O47" s="214"/>
      <c r="P47" s="214"/>
      <c r="Q47" s="214"/>
      <c r="R47" s="214"/>
      <c r="S47" s="214"/>
      <c r="T47" s="214"/>
      <c r="U47" s="214"/>
      <c r="V47" s="214"/>
      <c r="W47" s="214"/>
      <c r="X47" s="214"/>
    </row>
    <row r="48" spans="2:24" ht="15" customHeight="1" x14ac:dyDescent="0.25">
      <c r="B48" s="214"/>
      <c r="C48" s="214"/>
      <c r="D48" s="214"/>
      <c r="E48" s="214"/>
      <c r="F48" s="214"/>
      <c r="G48" s="214"/>
      <c r="H48" s="214"/>
      <c r="I48" s="214"/>
      <c r="J48" s="214"/>
      <c r="K48" s="214"/>
      <c r="L48" s="214"/>
      <c r="M48" s="214"/>
      <c r="N48" s="214"/>
      <c r="O48" s="214"/>
      <c r="P48" s="214"/>
      <c r="Q48" s="214"/>
      <c r="R48" s="214"/>
      <c r="S48" s="214"/>
      <c r="T48" s="214"/>
      <c r="U48" s="214"/>
      <c r="V48" s="214"/>
      <c r="W48" s="214"/>
      <c r="X48" s="214"/>
    </row>
    <row r="49" spans="1:31" ht="18.75" customHeight="1" x14ac:dyDescent="0.25">
      <c r="A49" s="1"/>
      <c r="B49" s="6"/>
      <c r="C49" s="6"/>
      <c r="D49" s="6"/>
      <c r="E49" s="59"/>
      <c r="F49" s="6"/>
      <c r="G49" s="6"/>
      <c r="I49" s="210"/>
      <c r="J49" s="217" t="s">
        <v>77</v>
      </c>
      <c r="K49" s="217"/>
      <c r="L49" s="217"/>
      <c r="M49" s="217"/>
      <c r="N49" s="217"/>
      <c r="O49" s="217"/>
      <c r="P49" s="217"/>
      <c r="Q49" s="217"/>
      <c r="R49" s="217"/>
      <c r="S49" s="217"/>
      <c r="T49" s="217"/>
      <c r="U49" s="217"/>
      <c r="V49" s="217"/>
      <c r="W49" s="217"/>
      <c r="X49" s="217"/>
      <c r="Y49" s="6"/>
      <c r="Z49" s="6"/>
      <c r="AA49" s="6"/>
      <c r="AB49" s="6"/>
      <c r="AC49" s="6"/>
      <c r="AE49" s="6"/>
    </row>
    <row r="50" spans="1:31" ht="18.75" customHeight="1" x14ac:dyDescent="0.25">
      <c r="A50" s="1"/>
      <c r="B50" s="6"/>
      <c r="C50" s="6"/>
      <c r="D50" s="6"/>
      <c r="E50" s="109" t="s">
        <v>9</v>
      </c>
      <c r="F50" s="6"/>
      <c r="G50" s="6"/>
      <c r="I50" s="211"/>
      <c r="J50" s="217"/>
      <c r="K50" s="217"/>
      <c r="L50" s="217"/>
      <c r="M50" s="217"/>
      <c r="N50" s="217"/>
      <c r="O50" s="217"/>
      <c r="P50" s="217"/>
      <c r="Q50" s="217"/>
      <c r="R50" s="217"/>
      <c r="S50" s="217"/>
      <c r="T50" s="217"/>
      <c r="U50" s="217"/>
      <c r="V50" s="217"/>
      <c r="W50" s="217"/>
      <c r="X50" s="217"/>
      <c r="Y50" s="6"/>
      <c r="Z50" s="6"/>
      <c r="AA50" s="6"/>
      <c r="AB50" s="6"/>
      <c r="AC50" s="6"/>
      <c r="AE50" s="6"/>
    </row>
    <row r="51" spans="1:31" ht="15.75" x14ac:dyDescent="0.25">
      <c r="A51" s="1"/>
      <c r="B51" s="6"/>
      <c r="C51" s="6"/>
      <c r="D51" s="6"/>
      <c r="E51" s="199" t="s">
        <v>6</v>
      </c>
      <c r="F51" s="6"/>
      <c r="G51" s="6"/>
      <c r="I51" s="212"/>
      <c r="J51" s="217"/>
      <c r="K51" s="217"/>
      <c r="L51" s="217"/>
      <c r="M51" s="217"/>
      <c r="N51" s="217"/>
      <c r="O51" s="217"/>
      <c r="P51" s="217"/>
      <c r="Q51" s="217"/>
      <c r="R51" s="217"/>
      <c r="S51" s="217"/>
      <c r="T51" s="217"/>
      <c r="U51" s="217"/>
      <c r="V51" s="217"/>
      <c r="W51" s="217"/>
      <c r="X51" s="217"/>
      <c r="Y51" s="6"/>
      <c r="Z51" s="6"/>
      <c r="AA51" s="6"/>
      <c r="AB51" s="6"/>
      <c r="AC51" s="6"/>
      <c r="AE51" s="6"/>
    </row>
    <row r="52" spans="1:31" ht="15.75" x14ac:dyDescent="0.25">
      <c r="A52" s="110"/>
      <c r="B52" s="111"/>
      <c r="C52" s="110"/>
      <c r="D52" s="111"/>
      <c r="E52" s="115" t="s">
        <v>7</v>
      </c>
      <c r="F52" s="199"/>
      <c r="G52" s="116" t="s">
        <v>8</v>
      </c>
      <c r="I52" s="200"/>
      <c r="J52" s="217"/>
      <c r="K52" s="217"/>
      <c r="L52" s="217"/>
      <c r="M52" s="217"/>
      <c r="N52" s="217"/>
      <c r="O52" s="217"/>
      <c r="P52" s="217"/>
      <c r="Q52" s="217"/>
      <c r="R52" s="217"/>
      <c r="S52" s="217"/>
      <c r="T52" s="217"/>
      <c r="U52" s="217"/>
      <c r="V52" s="217"/>
      <c r="W52" s="217"/>
      <c r="X52" s="217"/>
      <c r="Y52" s="6"/>
      <c r="Z52" s="6"/>
      <c r="AA52" s="6"/>
      <c r="AB52" s="6"/>
      <c r="AC52" s="6"/>
      <c r="AE52" s="111"/>
    </row>
    <row r="53" spans="1:31" ht="15.75" x14ac:dyDescent="0.25">
      <c r="A53" s="110"/>
      <c r="B53" s="111"/>
      <c r="C53" s="104" t="s">
        <v>50</v>
      </c>
      <c r="D53" s="110"/>
      <c r="E53" s="203" t="s">
        <v>17</v>
      </c>
      <c r="F53" s="199"/>
      <c r="G53" s="111"/>
      <c r="I53" s="213"/>
      <c r="J53" s="217"/>
      <c r="K53" s="217"/>
      <c r="L53" s="217"/>
      <c r="M53" s="217"/>
      <c r="N53" s="217"/>
      <c r="O53" s="217"/>
      <c r="P53" s="217"/>
      <c r="Q53" s="217"/>
      <c r="R53" s="217"/>
      <c r="S53" s="217"/>
      <c r="T53" s="217"/>
      <c r="U53" s="217"/>
      <c r="V53" s="217"/>
      <c r="W53" s="217"/>
      <c r="X53" s="217"/>
      <c r="Y53" s="6"/>
      <c r="Z53" s="6"/>
      <c r="AA53" s="6"/>
      <c r="AB53" s="6"/>
      <c r="AC53" s="6"/>
      <c r="AE53" s="111"/>
    </row>
    <row r="54" spans="1:31" ht="15.75" x14ac:dyDescent="0.25">
      <c r="A54" s="110"/>
      <c r="B54" s="111"/>
      <c r="C54" s="104"/>
      <c r="D54" s="110"/>
      <c r="E54" s="203"/>
      <c r="F54" s="199"/>
      <c r="G54" s="111"/>
      <c r="I54" s="213"/>
      <c r="J54" s="217"/>
      <c r="K54" s="217"/>
      <c r="L54" s="217"/>
      <c r="M54" s="217"/>
      <c r="N54" s="217"/>
      <c r="O54" s="217"/>
      <c r="P54" s="217"/>
      <c r="Q54" s="217"/>
      <c r="R54" s="217"/>
      <c r="S54" s="217"/>
      <c r="T54" s="217"/>
      <c r="U54" s="217"/>
      <c r="V54" s="217"/>
      <c r="W54" s="217"/>
      <c r="X54" s="217"/>
      <c r="Y54" s="6"/>
      <c r="Z54" s="6"/>
      <c r="AA54" s="6"/>
      <c r="AB54" s="6"/>
      <c r="AC54" s="6"/>
      <c r="AE54" s="111"/>
    </row>
    <row r="55" spans="1:31" x14ac:dyDescent="0.25">
      <c r="A55" s="1"/>
      <c r="B55" s="6"/>
      <c r="C55" s="6"/>
      <c r="D55" s="104"/>
      <c r="E55" s="104"/>
      <c r="F55" s="104"/>
      <c r="G55" s="104"/>
      <c r="H55" s="6"/>
      <c r="I55" s="32"/>
      <c r="J55" s="102"/>
      <c r="K55" s="102"/>
      <c r="L55" s="102"/>
      <c r="M55" s="102"/>
      <c r="N55" s="102"/>
      <c r="O55" s="102"/>
      <c r="P55" s="102"/>
      <c r="Q55" s="102"/>
      <c r="R55" s="102"/>
      <c r="S55" s="102"/>
      <c r="T55" s="102"/>
      <c r="U55" s="102"/>
      <c r="V55" s="102"/>
      <c r="W55" s="102"/>
      <c r="X55" s="102"/>
      <c r="Y55" s="102"/>
      <c r="Z55" s="102"/>
      <c r="AA55" s="102"/>
      <c r="AB55" s="6"/>
      <c r="AC55" s="6"/>
      <c r="AD55" s="6"/>
      <c r="AE55" s="6"/>
    </row>
    <row r="56" spans="1:31" x14ac:dyDescent="0.25">
      <c r="B56" s="215" t="s">
        <v>53</v>
      </c>
      <c r="C56" s="215"/>
      <c r="D56" s="215"/>
      <c r="E56" s="215"/>
      <c r="F56" s="215"/>
      <c r="G56" s="215"/>
      <c r="H56" s="215"/>
      <c r="I56" s="215"/>
      <c r="J56" s="215"/>
      <c r="K56" s="215"/>
      <c r="L56" s="215"/>
      <c r="M56" s="215"/>
      <c r="N56" s="215"/>
      <c r="O56" s="215"/>
      <c r="P56" s="215"/>
      <c r="Q56" s="215"/>
      <c r="R56" s="215"/>
      <c r="S56" s="215"/>
      <c r="T56" s="215"/>
      <c r="U56" s="215"/>
      <c r="V56" s="215"/>
      <c r="W56" s="215"/>
      <c r="X56" s="215"/>
    </row>
    <row r="57" spans="1:31" x14ac:dyDescent="0.25">
      <c r="B57" s="215"/>
      <c r="C57" s="215"/>
      <c r="D57" s="215"/>
      <c r="E57" s="215"/>
      <c r="F57" s="215"/>
      <c r="G57" s="215"/>
      <c r="H57" s="215"/>
      <c r="I57" s="215"/>
      <c r="J57" s="215"/>
      <c r="K57" s="215"/>
      <c r="L57" s="215"/>
      <c r="M57" s="215"/>
      <c r="N57" s="215"/>
      <c r="O57" s="215"/>
      <c r="P57" s="215"/>
      <c r="Q57" s="215"/>
      <c r="R57" s="215"/>
      <c r="S57" s="215"/>
      <c r="T57" s="215"/>
      <c r="U57" s="215"/>
      <c r="V57" s="215"/>
      <c r="W57" s="215"/>
      <c r="X57" s="215"/>
    </row>
    <row r="58" spans="1:31" x14ac:dyDescent="0.25">
      <c r="B58" s="215"/>
      <c r="C58" s="215"/>
      <c r="D58" s="215"/>
      <c r="E58" s="215"/>
      <c r="F58" s="215"/>
      <c r="G58" s="215"/>
      <c r="H58" s="215"/>
      <c r="I58" s="215"/>
      <c r="J58" s="215"/>
      <c r="K58" s="215"/>
      <c r="L58" s="215"/>
      <c r="M58" s="215"/>
      <c r="N58" s="215"/>
      <c r="O58" s="215"/>
      <c r="P58" s="215"/>
      <c r="Q58" s="215"/>
      <c r="R58" s="215"/>
      <c r="S58" s="215"/>
      <c r="T58" s="215"/>
      <c r="U58" s="215"/>
      <c r="V58" s="215"/>
      <c r="W58" s="215"/>
      <c r="X58" s="215"/>
    </row>
    <row r="59" spans="1:31" x14ac:dyDescent="0.25">
      <c r="B59" s="215"/>
      <c r="C59" s="215"/>
      <c r="D59" s="215"/>
      <c r="E59" s="215"/>
      <c r="F59" s="215"/>
      <c r="G59" s="215"/>
      <c r="H59" s="215"/>
      <c r="I59" s="215"/>
      <c r="J59" s="215"/>
      <c r="K59" s="215"/>
      <c r="L59" s="215"/>
      <c r="M59" s="215"/>
      <c r="N59" s="215"/>
      <c r="O59" s="215"/>
      <c r="P59" s="215"/>
      <c r="Q59" s="215"/>
      <c r="R59" s="215"/>
      <c r="S59" s="215"/>
      <c r="T59" s="215"/>
      <c r="U59" s="215"/>
      <c r="V59" s="215"/>
      <c r="W59" s="215"/>
      <c r="X59" s="215"/>
    </row>
    <row r="60" spans="1:31" x14ac:dyDescent="0.25">
      <c r="B60" s="215"/>
      <c r="C60" s="215"/>
      <c r="D60" s="215"/>
      <c r="E60" s="215"/>
      <c r="F60" s="215"/>
      <c r="G60" s="215"/>
      <c r="H60" s="215"/>
      <c r="I60" s="215"/>
      <c r="J60" s="215"/>
      <c r="K60" s="215"/>
      <c r="L60" s="215"/>
      <c r="M60" s="215"/>
      <c r="N60" s="215"/>
      <c r="O60" s="215"/>
      <c r="P60" s="215"/>
      <c r="Q60" s="215"/>
      <c r="R60" s="215"/>
      <c r="S60" s="215"/>
      <c r="T60" s="215"/>
      <c r="U60" s="215"/>
      <c r="V60" s="215"/>
      <c r="W60" s="215"/>
      <c r="X60" s="215"/>
    </row>
  </sheetData>
  <sheetProtection algorithmName="SHA-512" hashValue="j4Iru2oksDb9lkuLC+bd9Z+DoSTEd937NHdQgWhHH1JZyJjR2jUYDp620fNaYJcQDoAQVWnzASf2ie+H920Xxw==" saltValue="hVZhiInJKd5SUmSZlXs3KQ==" spinCount="100000" sheet="1" objects="1" selectLockedCells="1"/>
  <mergeCells count="4">
    <mergeCell ref="B3:X48"/>
    <mergeCell ref="B56:X60"/>
    <mergeCell ref="B2:X2"/>
    <mergeCell ref="J49:X54"/>
  </mergeCells>
  <hyperlinks>
    <hyperlink ref="G52" r:id="rId1" xr:uid="{00CADE3B-44B5-4ABE-9676-8BA444FA2F63}"/>
    <hyperlink ref="E53" r:id="rId2" xr:uid="{7269A612-F293-4B16-AFB0-EDC44B5C954A}"/>
  </hyperlinks>
  <pageMargins left="0" right="0" top="0" bottom="0" header="0" footer="0"/>
  <pageSetup scale="64"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83025-F9D5-4CC8-BF5C-736BB0674276}">
  <sheetPr codeName="Sheet1">
    <pageSetUpPr fitToPage="1"/>
  </sheetPr>
  <dimension ref="B1:AH134"/>
  <sheetViews>
    <sheetView showGridLines="0" tabSelected="1" topLeftCell="A2" zoomScaleNormal="100" workbookViewId="0">
      <selection activeCell="C7" sqref="C7:D7"/>
    </sheetView>
  </sheetViews>
  <sheetFormatPr defaultColWidth="9.140625" defaultRowHeight="15" x14ac:dyDescent="0.25"/>
  <cols>
    <col min="1" max="2" width="0.85546875" style="1" customWidth="1"/>
    <col min="3" max="3" width="10.7109375" style="1" customWidth="1"/>
    <col min="4" max="4" width="9.140625" style="1"/>
    <col min="5" max="5" width="2.7109375" style="1" customWidth="1"/>
    <col min="6" max="6" width="10.85546875" style="1" customWidth="1"/>
    <col min="7" max="7" width="5.140625" style="1" customWidth="1"/>
    <col min="8" max="8" width="1.7109375" style="1" customWidth="1"/>
    <col min="9" max="9" width="11.7109375" style="1" customWidth="1"/>
    <col min="10" max="10" width="2.140625" style="32" customWidth="1"/>
    <col min="11" max="11" width="10.7109375" style="1" customWidth="1"/>
    <col min="12" max="12" width="1.42578125" style="1" customWidth="1"/>
    <col min="13" max="13" width="15.7109375" style="1" customWidth="1"/>
    <col min="14" max="14" width="2.7109375" style="1" customWidth="1"/>
    <col min="15" max="15" width="15.7109375" style="1" customWidth="1"/>
    <col min="16" max="16" width="0.85546875" style="1" customWidth="1"/>
    <col min="17" max="17" width="0.42578125" style="1" customWidth="1"/>
    <col min="18" max="18" width="0.42578125" style="6" customWidth="1"/>
    <col min="19" max="19" width="10.7109375" style="6" customWidth="1"/>
    <col min="20" max="20" width="9.140625" style="6" customWidth="1"/>
    <col min="21" max="21" width="2.7109375" style="6" customWidth="1"/>
    <col min="22" max="22" width="10.85546875" style="6" customWidth="1"/>
    <col min="23" max="23" width="2.7109375" style="6" customWidth="1"/>
    <col min="24" max="24" width="8.85546875" style="6" customWidth="1"/>
    <col min="25" max="25" width="2.7109375" style="6" customWidth="1"/>
    <col min="26" max="26" width="7.7109375" style="6" customWidth="1"/>
    <col min="27" max="27" width="7.42578125" style="6" bestFit="1" customWidth="1"/>
    <col min="28" max="28" width="2.7109375" style="6" customWidth="1"/>
    <col min="29" max="29" width="10.5703125" style="6" bestFit="1" customWidth="1"/>
    <col min="30" max="30" width="2.7109375" style="6" customWidth="1"/>
    <col min="31" max="31" width="16.5703125" style="6" customWidth="1"/>
    <col min="32" max="33" width="0.42578125" style="6" customWidth="1"/>
    <col min="34" max="34" width="8.140625" style="6" customWidth="1"/>
    <col min="35" max="16384" width="9.140625" style="1"/>
  </cols>
  <sheetData>
    <row r="1" spans="2:34" ht="0.2" customHeight="1" thickBot="1" x14ac:dyDescent="0.3">
      <c r="B1" s="6"/>
      <c r="C1" s="28"/>
      <c r="D1" s="28"/>
      <c r="E1" s="28"/>
      <c r="F1" s="28"/>
      <c r="G1" s="6"/>
      <c r="H1" s="6"/>
      <c r="I1" s="6"/>
      <c r="J1" s="31"/>
      <c r="K1" s="6"/>
      <c r="L1" s="6"/>
      <c r="M1" s="6"/>
      <c r="N1" s="6"/>
      <c r="O1" s="6"/>
      <c r="P1" s="6"/>
      <c r="Q1" s="6"/>
    </row>
    <row r="2" spans="2:34" ht="33.75" x14ac:dyDescent="0.25">
      <c r="C2" s="219" t="s">
        <v>19</v>
      </c>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1"/>
    </row>
    <row r="3" spans="2:34" ht="8.25" customHeight="1" thickBot="1" x14ac:dyDescent="0.3">
      <c r="AG3" s="79"/>
    </row>
    <row r="4" spans="2:34" ht="2.1" customHeight="1" x14ac:dyDescent="0.25">
      <c r="B4" s="63"/>
      <c r="C4" s="64"/>
      <c r="D4" s="64"/>
      <c r="E4" s="64"/>
      <c r="F4" s="64"/>
      <c r="G4" s="64"/>
      <c r="H4" s="64"/>
      <c r="I4" s="64"/>
      <c r="J4" s="64"/>
      <c r="K4" s="64"/>
      <c r="L4" s="64"/>
      <c r="M4" s="64"/>
      <c r="N4" s="64"/>
      <c r="O4" s="64"/>
      <c r="P4" s="65"/>
      <c r="Q4" s="83"/>
      <c r="R4" s="30"/>
      <c r="S4" s="30"/>
      <c r="T4" s="30"/>
      <c r="U4" s="30"/>
      <c r="V4" s="30"/>
      <c r="W4" s="30"/>
      <c r="X4" s="30"/>
      <c r="Y4" s="30"/>
      <c r="Z4" s="30"/>
      <c r="AA4" s="30"/>
      <c r="AB4" s="30"/>
      <c r="AC4" s="30"/>
      <c r="AD4" s="30"/>
      <c r="AE4" s="30"/>
      <c r="AF4" s="30"/>
      <c r="AG4" s="120"/>
      <c r="AH4" s="30"/>
    </row>
    <row r="5" spans="2:34" ht="16.5" customHeight="1" x14ac:dyDescent="0.3">
      <c r="B5" s="66"/>
      <c r="C5" s="248" t="s">
        <v>42</v>
      </c>
      <c r="D5" s="248"/>
      <c r="E5" s="248"/>
      <c r="F5" s="248"/>
      <c r="G5" s="248"/>
      <c r="H5" s="248"/>
      <c r="I5" s="248"/>
      <c r="J5" s="248"/>
      <c r="K5" s="248"/>
      <c r="L5" s="248"/>
      <c r="M5" s="248"/>
      <c r="N5" s="248"/>
      <c r="O5" s="248"/>
      <c r="P5" s="67"/>
      <c r="Q5" s="83"/>
      <c r="R5" s="30"/>
      <c r="S5" s="234" t="s">
        <v>43</v>
      </c>
      <c r="T5" s="234"/>
      <c r="U5" s="30"/>
      <c r="V5" s="30"/>
      <c r="W5" s="30"/>
      <c r="X5" s="30"/>
      <c r="Y5" s="30"/>
      <c r="Z5" s="30"/>
      <c r="AA5" s="30"/>
      <c r="AB5" s="30"/>
      <c r="AC5" s="30"/>
      <c r="AD5" s="30"/>
      <c r="AE5" s="30"/>
      <c r="AF5" s="30"/>
      <c r="AG5" s="120"/>
      <c r="AH5" s="30"/>
    </row>
    <row r="6" spans="2:34" ht="2.1" customHeight="1" x14ac:dyDescent="0.25">
      <c r="B6" s="66"/>
      <c r="C6" s="80"/>
      <c r="D6" s="7"/>
      <c r="E6" s="7"/>
      <c r="F6" s="7"/>
      <c r="G6" s="7"/>
      <c r="H6" s="7"/>
      <c r="I6" s="7"/>
      <c r="J6" s="7"/>
      <c r="K6" s="7"/>
      <c r="L6" s="7"/>
      <c r="M6" s="7"/>
      <c r="N6" s="7"/>
      <c r="O6" s="7"/>
      <c r="P6" s="68"/>
      <c r="Q6" s="83"/>
      <c r="R6" s="30"/>
      <c r="S6" s="30"/>
      <c r="T6" s="30"/>
      <c r="U6" s="30"/>
      <c r="V6" s="30"/>
      <c r="W6" s="30"/>
      <c r="X6" s="30"/>
      <c r="Y6" s="30"/>
      <c r="Z6" s="30"/>
      <c r="AA6" s="30"/>
      <c r="AB6" s="30"/>
      <c r="AC6" s="30"/>
      <c r="AD6" s="30"/>
      <c r="AE6" s="30"/>
      <c r="AF6" s="30"/>
      <c r="AG6" s="120"/>
      <c r="AH6" s="30"/>
    </row>
    <row r="7" spans="2:34" ht="15.75" customHeight="1" thickBot="1" x14ac:dyDescent="0.3">
      <c r="B7" s="66"/>
      <c r="C7" s="253">
        <v>500000</v>
      </c>
      <c r="D7" s="253"/>
      <c r="E7" s="7"/>
      <c r="F7" s="253">
        <v>400000</v>
      </c>
      <c r="G7" s="253"/>
      <c r="H7" s="38"/>
      <c r="I7" s="168">
        <f>F7/C7</f>
        <v>0.8</v>
      </c>
      <c r="J7" s="40"/>
      <c r="K7" s="167" t="s">
        <v>4</v>
      </c>
      <c r="L7" s="41"/>
      <c r="M7" s="166">
        <v>6.3750000000000001E-2</v>
      </c>
      <c r="N7" s="42"/>
      <c r="O7" s="165">
        <f>ROUND(PMT(M7/12,K7,-F7),2)</f>
        <v>2495.48</v>
      </c>
      <c r="P7" s="68"/>
      <c r="Q7" s="83"/>
      <c r="R7" s="30"/>
      <c r="S7" s="30"/>
      <c r="T7" s="30"/>
      <c r="U7" s="30"/>
      <c r="V7" s="30"/>
      <c r="W7" s="30"/>
      <c r="X7" s="30"/>
      <c r="Y7" s="30"/>
      <c r="Z7" s="30"/>
      <c r="AA7" s="30"/>
      <c r="AB7" s="30"/>
      <c r="AC7" s="30"/>
      <c r="AD7" s="56">
        <v>4</v>
      </c>
      <c r="AE7" s="30"/>
      <c r="AF7" s="30"/>
      <c r="AG7" s="120"/>
      <c r="AH7" s="30"/>
    </row>
    <row r="8" spans="2:34" ht="16.5" customHeight="1" x14ac:dyDescent="0.25">
      <c r="B8" s="66"/>
      <c r="C8" s="266" t="s">
        <v>1</v>
      </c>
      <c r="D8" s="266"/>
      <c r="E8" s="190"/>
      <c r="F8" s="266" t="s">
        <v>5</v>
      </c>
      <c r="G8" s="266"/>
      <c r="H8" s="7"/>
      <c r="I8" s="188" t="s">
        <v>60</v>
      </c>
      <c r="J8" s="60"/>
      <c r="K8" s="267" t="s">
        <v>62</v>
      </c>
      <c r="L8" s="61"/>
      <c r="M8" s="188" t="s">
        <v>0</v>
      </c>
      <c r="N8" s="61"/>
      <c r="O8" s="266" t="s">
        <v>76</v>
      </c>
      <c r="P8" s="69"/>
      <c r="Q8" s="83"/>
      <c r="R8" s="260" t="s">
        <v>41</v>
      </c>
      <c r="S8" s="260"/>
      <c r="T8" s="260"/>
      <c r="U8" s="260"/>
      <c r="V8" s="260"/>
      <c r="W8" s="260"/>
      <c r="X8" s="260"/>
      <c r="Y8" s="260"/>
      <c r="Z8" s="260"/>
      <c r="AA8" s="260"/>
      <c r="AB8" s="260"/>
      <c r="AC8" s="260"/>
      <c r="AD8" s="260"/>
      <c r="AE8" s="260"/>
      <c r="AF8" s="260"/>
      <c r="AG8" s="121"/>
    </row>
    <row r="9" spans="2:34" ht="21.75" customHeight="1" thickBot="1" x14ac:dyDescent="0.3">
      <c r="B9" s="66"/>
      <c r="C9" s="329" t="s">
        <v>61</v>
      </c>
      <c r="D9" s="329"/>
      <c r="E9" s="329"/>
      <c r="F9" s="328">
        <f>C7-F7</f>
        <v>100000</v>
      </c>
      <c r="G9" s="328"/>
      <c r="H9" s="7"/>
      <c r="I9" s="189"/>
      <c r="J9" s="7"/>
      <c r="K9" s="268"/>
      <c r="L9" s="39"/>
      <c r="M9" s="170" t="str">
        <f>CONCATENATE("~",TEXT(RATE(K7,-O7,F7-K17-E17,0,0)*12,"0.000%"))</f>
        <v>~6.723%</v>
      </c>
      <c r="N9" s="7"/>
      <c r="O9" s="331"/>
      <c r="P9" s="27"/>
      <c r="Q9" s="83"/>
      <c r="R9" s="261"/>
      <c r="S9" s="261"/>
      <c r="T9" s="261"/>
      <c r="U9" s="261"/>
      <c r="V9" s="261"/>
      <c r="W9" s="261"/>
      <c r="X9" s="261"/>
      <c r="Y9" s="261"/>
      <c r="Z9" s="261"/>
      <c r="AA9" s="261"/>
      <c r="AB9" s="261"/>
      <c r="AC9" s="261"/>
      <c r="AD9" s="261"/>
      <c r="AE9" s="261"/>
      <c r="AF9" s="261"/>
      <c r="AG9" s="121"/>
    </row>
    <row r="10" spans="2:34" ht="3" customHeight="1" x14ac:dyDescent="0.25">
      <c r="B10" s="70"/>
      <c r="C10" s="7"/>
      <c r="D10" s="7"/>
      <c r="E10" s="7"/>
      <c r="F10" s="7"/>
      <c r="G10" s="7"/>
      <c r="H10" s="7"/>
      <c r="I10" s="189"/>
      <c r="J10" s="7"/>
      <c r="K10" s="62"/>
      <c r="L10" s="7"/>
      <c r="M10" s="266" t="s">
        <v>14</v>
      </c>
      <c r="N10" s="7"/>
      <c r="O10" s="331"/>
      <c r="P10" s="71"/>
      <c r="Q10" s="126"/>
      <c r="R10" s="14"/>
      <c r="S10" s="15"/>
      <c r="T10" s="15"/>
      <c r="U10" s="15"/>
      <c r="V10" s="15"/>
      <c r="W10" s="15"/>
      <c r="X10" s="15"/>
      <c r="Y10" s="15"/>
      <c r="Z10" s="33"/>
      <c r="AA10" s="15"/>
      <c r="AB10" s="15"/>
      <c r="AC10" s="15"/>
      <c r="AD10" s="15"/>
      <c r="AE10" s="15"/>
      <c r="AF10" s="16"/>
      <c r="AG10" s="122"/>
    </row>
    <row r="11" spans="2:34" ht="16.5" thickBot="1" x14ac:dyDescent="0.3">
      <c r="B11" s="70"/>
      <c r="C11" s="249" t="s">
        <v>22</v>
      </c>
      <c r="D11" s="249"/>
      <c r="E11" s="332"/>
      <c r="F11" s="332"/>
      <c r="G11" s="332"/>
      <c r="H11" s="250" t="s">
        <v>23</v>
      </c>
      <c r="I11" s="250"/>
      <c r="J11" s="251"/>
      <c r="K11" s="251"/>
      <c r="L11" s="7"/>
      <c r="M11" s="331"/>
      <c r="N11" s="62"/>
      <c r="O11" s="331"/>
      <c r="P11" s="71"/>
      <c r="Q11" s="126"/>
      <c r="R11" s="17"/>
      <c r="S11" s="243" t="str">
        <f>IF(OR($AD$7=4,$AD$7=1),"3%","")</f>
        <v>3%</v>
      </c>
      <c r="T11" s="243"/>
      <c r="U11" s="243"/>
      <c r="V11" s="243"/>
      <c r="W11" s="243"/>
      <c r="X11" s="243"/>
      <c r="Y11" s="243"/>
      <c r="Z11" s="243"/>
      <c r="AA11" s="243"/>
      <c r="AB11" s="243"/>
      <c r="AC11" s="243"/>
      <c r="AD11" s="243"/>
      <c r="AE11" s="243"/>
      <c r="AF11" s="18"/>
      <c r="AG11" s="123"/>
    </row>
    <row r="12" spans="2:34" ht="2.1" customHeight="1" thickBot="1" x14ac:dyDescent="0.3">
      <c r="B12" s="142"/>
      <c r="C12" s="143"/>
      <c r="D12" s="143"/>
      <c r="E12" s="144"/>
      <c r="F12" s="144"/>
      <c r="G12" s="145"/>
      <c r="H12" s="146"/>
      <c r="I12" s="147"/>
      <c r="J12" s="145"/>
      <c r="K12" s="145"/>
      <c r="L12" s="145"/>
      <c r="M12" s="148"/>
      <c r="N12" s="148"/>
      <c r="O12" s="148"/>
      <c r="P12" s="149"/>
      <c r="Q12" s="126"/>
      <c r="R12" s="17"/>
      <c r="S12" s="243"/>
      <c r="T12" s="243"/>
      <c r="U12" s="243"/>
      <c r="V12" s="243"/>
      <c r="W12" s="243"/>
      <c r="X12" s="243"/>
      <c r="Y12" s="243"/>
      <c r="Z12" s="243"/>
      <c r="AA12" s="243"/>
      <c r="AB12" s="243"/>
      <c r="AC12" s="243"/>
      <c r="AD12" s="243"/>
      <c r="AE12" s="243"/>
      <c r="AF12" s="18"/>
      <c r="AG12" s="123"/>
    </row>
    <row r="13" spans="2:34" ht="2.1" customHeight="1" thickBot="1" x14ac:dyDescent="0.3">
      <c r="B13" s="150"/>
      <c r="C13" s="151"/>
      <c r="D13" s="151"/>
      <c r="E13" s="152"/>
      <c r="F13" s="152"/>
      <c r="G13" s="150"/>
      <c r="H13" s="153"/>
      <c r="I13" s="154"/>
      <c r="J13" s="150"/>
      <c r="K13" s="150"/>
      <c r="L13" s="150"/>
      <c r="M13" s="155"/>
      <c r="N13" s="155"/>
      <c r="O13" s="155"/>
      <c r="P13" s="150"/>
      <c r="Q13" s="126"/>
      <c r="R13" s="17"/>
      <c r="S13" s="243"/>
      <c r="T13" s="243"/>
      <c r="U13" s="243"/>
      <c r="V13" s="243"/>
      <c r="W13" s="243"/>
      <c r="X13" s="243"/>
      <c r="Y13" s="243"/>
      <c r="Z13" s="243"/>
      <c r="AA13" s="243"/>
      <c r="AB13" s="243"/>
      <c r="AC13" s="243"/>
      <c r="AD13" s="243"/>
      <c r="AE13" s="243"/>
      <c r="AF13" s="18"/>
      <c r="AG13" s="123"/>
    </row>
    <row r="14" spans="2:34" ht="3" customHeight="1" x14ac:dyDescent="0.25">
      <c r="B14" s="139"/>
      <c r="C14" s="156"/>
      <c r="D14" s="156"/>
      <c r="E14" s="156"/>
      <c r="F14" s="156"/>
      <c r="G14" s="156"/>
      <c r="H14" s="156"/>
      <c r="I14" s="156"/>
      <c r="J14" s="156"/>
      <c r="K14" s="156"/>
      <c r="L14" s="156"/>
      <c r="M14" s="156"/>
      <c r="N14" s="156"/>
      <c r="O14" s="156"/>
      <c r="P14" s="157"/>
      <c r="Q14" s="126"/>
      <c r="R14" s="17"/>
      <c r="S14" s="8"/>
      <c r="T14" s="8"/>
      <c r="U14" s="8"/>
      <c r="V14" s="8"/>
      <c r="W14" s="8"/>
      <c r="X14" s="8"/>
      <c r="Y14" s="8"/>
      <c r="Z14" s="34"/>
      <c r="AA14" s="8"/>
      <c r="AB14" s="8"/>
      <c r="AC14" s="8"/>
      <c r="AD14" s="8"/>
      <c r="AE14" s="8"/>
      <c r="AF14" s="19"/>
      <c r="AG14" s="122"/>
    </row>
    <row r="15" spans="2:34" s="2" customFormat="1" ht="15" customHeight="1" x14ac:dyDescent="0.25">
      <c r="B15" s="140"/>
      <c r="C15" s="254" t="s">
        <v>73</v>
      </c>
      <c r="D15" s="255"/>
      <c r="E15" s="255"/>
      <c r="F15" s="255"/>
      <c r="G15" s="255"/>
      <c r="H15" s="255"/>
      <c r="I15" s="255"/>
      <c r="J15" s="255"/>
      <c r="K15" s="255"/>
      <c r="L15" s="255"/>
      <c r="M15" s="255"/>
      <c r="N15" s="255"/>
      <c r="O15" s="255"/>
      <c r="P15" s="141"/>
      <c r="Q15" s="128"/>
      <c r="R15" s="20"/>
      <c r="S15" s="274" t="str">
        <f>IF(OR($AD$7=4,$AD$7=1),"Rate minus 3%:","")</f>
        <v>Rate minus 3%:</v>
      </c>
      <c r="T15" s="274"/>
      <c r="U15" s="274"/>
      <c r="V15" s="195">
        <f>IF(OR($AD$7=4,$AD$7=1),SUM(M7-0.03),"")</f>
        <v>3.3750000000000002E-2</v>
      </c>
      <c r="W15" s="43"/>
      <c r="X15" s="273" t="str">
        <f>IF(OR($AD$7=4,$AD$7=1),"P&amp;I @ Rate minus 3%:","")</f>
        <v>P&amp;I @ Rate minus 3%:</v>
      </c>
      <c r="Y15" s="273"/>
      <c r="Z15" s="273"/>
      <c r="AA15" s="273"/>
      <c r="AB15" s="273"/>
      <c r="AC15" s="192">
        <f>IF(OR($AD$7=4,$AD$7=1),PMT(V15/12,K7,-F7),"")</f>
        <v>1768.384841070025</v>
      </c>
      <c r="AD15" s="44"/>
      <c r="AE15" s="45"/>
      <c r="AF15" s="21"/>
      <c r="AG15" s="124"/>
      <c r="AH15" s="29"/>
    </row>
    <row r="16" spans="2:34" s="2" customFormat="1" ht="2.1" customHeight="1" x14ac:dyDescent="0.25">
      <c r="B16" s="140"/>
      <c r="C16" s="83"/>
      <c r="D16" s="83"/>
      <c r="E16" s="83"/>
      <c r="F16" s="83"/>
      <c r="G16" s="83"/>
      <c r="H16" s="83"/>
      <c r="I16" s="83"/>
      <c r="J16" s="99"/>
      <c r="K16" s="83"/>
      <c r="L16" s="75"/>
      <c r="M16" s="75"/>
      <c r="N16" s="75"/>
      <c r="O16" s="75"/>
      <c r="P16" s="141"/>
      <c r="Q16" s="128"/>
      <c r="R16" s="20"/>
      <c r="S16" s="74"/>
      <c r="T16" s="74"/>
      <c r="U16" s="74"/>
      <c r="V16" s="76"/>
      <c r="W16" s="43"/>
      <c r="X16" s="43"/>
      <c r="Y16" s="43"/>
      <c r="Z16" s="43"/>
      <c r="AA16" s="43"/>
      <c r="AB16" s="43"/>
      <c r="AC16" s="209"/>
      <c r="AD16" s="44"/>
      <c r="AE16" s="45"/>
      <c r="AF16" s="21"/>
      <c r="AG16" s="124"/>
      <c r="AH16" s="29"/>
    </row>
    <row r="17" spans="2:34" s="2" customFormat="1" ht="15" customHeight="1" thickBot="1" x14ac:dyDescent="0.3">
      <c r="B17" s="140"/>
      <c r="C17" s="262" t="s">
        <v>21</v>
      </c>
      <c r="D17" s="262"/>
      <c r="E17" s="263">
        <f>0.03*F7</f>
        <v>12000</v>
      </c>
      <c r="F17" s="263"/>
      <c r="G17" s="264" t="s">
        <v>12</v>
      </c>
      <c r="H17" s="264"/>
      <c r="I17" s="171">
        <v>0.55000000000000004</v>
      </c>
      <c r="J17" s="196" t="s">
        <v>13</v>
      </c>
      <c r="K17" s="206">
        <f>I17/100*F7</f>
        <v>2200</v>
      </c>
      <c r="L17" s="75"/>
      <c r="M17" s="382" t="s">
        <v>74</v>
      </c>
      <c r="N17" s="382"/>
      <c r="O17" s="382"/>
      <c r="P17" s="141"/>
      <c r="Q17" s="128"/>
      <c r="R17" s="20"/>
      <c r="S17" s="387" t="str">
        <f>IF(OR($AD$7=4,$AD$7=1),"Difference in Monthly Payment:","")</f>
        <v>Difference in Monthly Payment:</v>
      </c>
      <c r="T17" s="387"/>
      <c r="U17" s="387"/>
      <c r="V17" s="387"/>
      <c r="W17" s="386">
        <f>IF(OR($AD$7=4,$AD$7=1),ROUND(SUM(O7-AC15),2),"")</f>
        <v>727.1</v>
      </c>
      <c r="X17" s="386"/>
      <c r="Y17" s="388" t="str">
        <f>IF(OR($AD$7=4,$AD$7=1),"Multiplied by 12:","")</f>
        <v>Multiplied by 12:</v>
      </c>
      <c r="Z17" s="388"/>
      <c r="AA17" s="388"/>
      <c r="AB17" s="388"/>
      <c r="AC17" s="185">
        <f>IF(OR($AD$7=4,$AD$7=1),ROUND(SUM(W17*12),2),"")</f>
        <v>8725.2000000000007</v>
      </c>
      <c r="AD17" s="246" t="str">
        <f>IF(OR($AD$7=4,$AD$7=1),"(annual saving)","")</f>
        <v>(annual saving)</v>
      </c>
      <c r="AE17" s="246"/>
      <c r="AF17" s="21"/>
      <c r="AG17" s="124"/>
      <c r="AH17" s="29"/>
    </row>
    <row r="18" spans="2:34" s="2" customFormat="1" ht="2.1" customHeight="1" x14ac:dyDescent="0.25">
      <c r="B18" s="140"/>
      <c r="C18" s="75"/>
      <c r="D18" s="75"/>
      <c r="E18" s="75"/>
      <c r="F18" s="75"/>
      <c r="G18" s="75"/>
      <c r="H18" s="75"/>
      <c r="I18" s="75"/>
      <c r="J18" s="75"/>
      <c r="K18" s="75"/>
      <c r="L18" s="75"/>
      <c r="M18" s="75"/>
      <c r="N18" s="75"/>
      <c r="O18" s="75"/>
      <c r="P18" s="141"/>
      <c r="Q18" s="128"/>
      <c r="R18" s="20"/>
      <c r="S18" s="74"/>
      <c r="T18" s="74"/>
      <c r="U18" s="74"/>
      <c r="V18" s="54"/>
      <c r="W18" s="43"/>
      <c r="X18" s="55"/>
      <c r="Y18" s="55"/>
      <c r="Z18" s="55"/>
      <c r="AA18" s="55"/>
      <c r="AB18" s="43"/>
      <c r="AC18" s="54"/>
      <c r="AD18" s="46"/>
      <c r="AE18" s="45"/>
      <c r="AF18" s="21"/>
      <c r="AG18" s="124"/>
      <c r="AH18" s="29"/>
    </row>
    <row r="19" spans="2:34" ht="15.75" customHeight="1" thickBot="1" x14ac:dyDescent="0.3">
      <c r="B19" s="142"/>
      <c r="C19" s="330" t="s">
        <v>18</v>
      </c>
      <c r="D19" s="330"/>
      <c r="E19" s="330"/>
      <c r="F19" s="330"/>
      <c r="G19" s="275">
        <f>15*M7*F7/360+6*0.0115*C7/12+15*0.002*C7/12</f>
        <v>5187.5</v>
      </c>
      <c r="H19" s="275"/>
      <c r="I19" s="275"/>
      <c r="J19" s="145"/>
      <c r="K19" s="218" t="s">
        <v>75</v>
      </c>
      <c r="L19" s="218"/>
      <c r="M19" s="218"/>
      <c r="N19" s="275">
        <f>E17+K17+G19</f>
        <v>19387.5</v>
      </c>
      <c r="O19" s="276"/>
      <c r="P19" s="149"/>
      <c r="Q19" s="126"/>
      <c r="R19" s="22"/>
      <c r="S19" s="47"/>
      <c r="T19" s="47"/>
      <c r="U19" s="47"/>
      <c r="V19" s="47"/>
      <c r="W19" s="47"/>
      <c r="X19" s="47"/>
      <c r="Y19" s="47"/>
      <c r="Z19" s="48"/>
      <c r="AA19" s="47"/>
      <c r="AB19" s="47"/>
      <c r="AC19" s="47"/>
      <c r="AD19" s="47"/>
      <c r="AE19" s="47"/>
      <c r="AF19" s="23"/>
      <c r="AG19" s="122"/>
    </row>
    <row r="20" spans="2:34" s="2" customFormat="1" ht="3" customHeight="1" thickBot="1" x14ac:dyDescent="0.3">
      <c r="B20" s="156"/>
      <c r="C20" s="156"/>
      <c r="D20" s="156"/>
      <c r="E20" s="156"/>
      <c r="F20" s="156"/>
      <c r="G20" s="156"/>
      <c r="H20" s="156"/>
      <c r="I20" s="156"/>
      <c r="J20" s="156"/>
      <c r="K20" s="156"/>
      <c r="L20" s="156"/>
      <c r="M20" s="156"/>
      <c r="N20" s="156"/>
      <c r="O20" s="156"/>
      <c r="P20" s="156"/>
      <c r="Q20" s="84"/>
      <c r="R20" s="129"/>
      <c r="S20" s="130"/>
      <c r="T20" s="130"/>
      <c r="U20" s="130"/>
      <c r="V20" s="131"/>
      <c r="W20" s="130"/>
      <c r="X20" s="130"/>
      <c r="Y20" s="130"/>
      <c r="Z20" s="132"/>
      <c r="AA20" s="130"/>
      <c r="AB20" s="130"/>
      <c r="AC20" s="133"/>
      <c r="AD20" s="133"/>
      <c r="AE20" s="134"/>
      <c r="AF20" s="124"/>
      <c r="AG20" s="124"/>
      <c r="AH20" s="29"/>
    </row>
    <row r="21" spans="2:34" s="2" customFormat="1" ht="3" customHeight="1" x14ac:dyDescent="0.25">
      <c r="B21" s="24"/>
      <c r="C21" s="162"/>
      <c r="D21" s="162"/>
      <c r="E21" s="162"/>
      <c r="F21" s="162"/>
      <c r="G21" s="162"/>
      <c r="H21" s="162"/>
      <c r="I21" s="162"/>
      <c r="J21" s="162"/>
      <c r="K21" s="162"/>
      <c r="L21" s="162"/>
      <c r="M21" s="162"/>
      <c r="N21" s="162"/>
      <c r="O21" s="162"/>
      <c r="P21" s="163"/>
      <c r="Q21" s="128"/>
      <c r="R21" s="24"/>
      <c r="S21" s="49"/>
      <c r="T21" s="49"/>
      <c r="U21" s="49"/>
      <c r="V21" s="49"/>
      <c r="W21" s="49"/>
      <c r="X21" s="49"/>
      <c r="Y21" s="49"/>
      <c r="Z21" s="50"/>
      <c r="AA21" s="49"/>
      <c r="AB21" s="49"/>
      <c r="AC21" s="49"/>
      <c r="AD21" s="49"/>
      <c r="AE21" s="49"/>
      <c r="AF21" s="25"/>
      <c r="AG21" s="124"/>
      <c r="AH21" s="29"/>
    </row>
    <row r="22" spans="2:34" ht="18.75" x14ac:dyDescent="0.25">
      <c r="B22" s="140"/>
      <c r="C22" s="254" t="s">
        <v>72</v>
      </c>
      <c r="D22" s="255"/>
      <c r="E22" s="255"/>
      <c r="F22" s="255"/>
      <c r="G22" s="255"/>
      <c r="H22" s="255"/>
      <c r="I22" s="255"/>
      <c r="J22" s="255"/>
      <c r="K22" s="255"/>
      <c r="L22" s="255"/>
      <c r="M22" s="255"/>
      <c r="N22" s="255"/>
      <c r="O22" s="255"/>
      <c r="P22" s="158"/>
      <c r="Q22" s="126"/>
      <c r="R22" s="17"/>
      <c r="S22" s="243" t="str">
        <f>IF(OR($AD$7=4,$AD$7=1,$AD$7=2),"2%","")</f>
        <v>2%</v>
      </c>
      <c r="T22" s="243"/>
      <c r="U22" s="243"/>
      <c r="V22" s="243"/>
      <c r="W22" s="243"/>
      <c r="X22" s="243"/>
      <c r="Y22" s="243"/>
      <c r="Z22" s="243"/>
      <c r="AA22" s="243"/>
      <c r="AB22" s="243"/>
      <c r="AC22" s="243"/>
      <c r="AD22" s="243"/>
      <c r="AE22" s="243"/>
      <c r="AF22" s="18"/>
      <c r="AG22" s="123"/>
    </row>
    <row r="23" spans="2:34" ht="3" customHeight="1" x14ac:dyDescent="0.25">
      <c r="B23" s="140"/>
      <c r="C23" s="8"/>
      <c r="D23" s="8"/>
      <c r="E23" s="8"/>
      <c r="F23" s="8"/>
      <c r="G23" s="8"/>
      <c r="H23" s="8"/>
      <c r="I23" s="8"/>
      <c r="J23" s="34"/>
      <c r="K23" s="8"/>
      <c r="L23" s="8"/>
      <c r="M23" s="8"/>
      <c r="N23" s="8"/>
      <c r="O23" s="8"/>
      <c r="P23" s="158"/>
      <c r="Q23" s="126"/>
      <c r="R23" s="17"/>
      <c r="S23" s="243"/>
      <c r="T23" s="243"/>
      <c r="U23" s="243"/>
      <c r="V23" s="243"/>
      <c r="W23" s="243"/>
      <c r="X23" s="243"/>
      <c r="Y23" s="243"/>
      <c r="Z23" s="243"/>
      <c r="AA23" s="243"/>
      <c r="AB23" s="243"/>
      <c r="AC23" s="243"/>
      <c r="AD23" s="243"/>
      <c r="AE23" s="243"/>
      <c r="AF23" s="19"/>
      <c r="AG23" s="122"/>
    </row>
    <row r="24" spans="2:34" ht="15.75" customHeight="1" x14ac:dyDescent="0.25">
      <c r="B24" s="140"/>
      <c r="C24" s="257" t="s">
        <v>39</v>
      </c>
      <c r="D24" s="257"/>
      <c r="E24" s="257"/>
      <c r="F24" s="173">
        <v>0.06</v>
      </c>
      <c r="G24" s="8"/>
      <c r="H24" s="224" t="s">
        <v>51</v>
      </c>
      <c r="I24" s="224"/>
      <c r="J24" s="224"/>
      <c r="K24" s="224"/>
      <c r="L24" s="224"/>
      <c r="M24" s="224"/>
      <c r="N24" s="224"/>
      <c r="O24" s="10"/>
      <c r="P24" s="158"/>
      <c r="Q24" s="126"/>
      <c r="R24" s="17"/>
      <c r="S24" s="274" t="str">
        <f>IF(OR($AD$7=4,$AD$7=1,$AD$7=2),"Rate minus 2%:","")</f>
        <v>Rate minus 2%:</v>
      </c>
      <c r="T24" s="274"/>
      <c r="U24" s="274"/>
      <c r="V24" s="194">
        <f>IF(OR($AD$7=4,$AD$7=1,$AD$7=2),SUM(M7-0.02),"")</f>
        <v>4.3749999999999997E-2</v>
      </c>
      <c r="W24" s="43"/>
      <c r="X24" s="273" t="str">
        <f>IF(OR($AD$7=4,$AD$7=1,$AD$7=2),"P&amp;I @ Rate minus 2%:","")</f>
        <v>P&amp;I @ Rate minus 2%:</v>
      </c>
      <c r="Y24" s="273"/>
      <c r="Z24" s="273"/>
      <c r="AA24" s="273"/>
      <c r="AB24" s="273"/>
      <c r="AC24" s="192">
        <f>IF(OR($AD$7=4,$AD$7=1,$AD$7=2),PMT(V24/12,K7,-F7),"")</f>
        <v>1997.141030940727</v>
      </c>
      <c r="AD24" s="44"/>
      <c r="AE24" s="45"/>
      <c r="AF24" s="21"/>
      <c r="AG24" s="124"/>
    </row>
    <row r="25" spans="2:34" ht="2.1" customHeight="1" x14ac:dyDescent="0.25">
      <c r="B25" s="140"/>
      <c r="C25" s="252" t="s">
        <v>40</v>
      </c>
      <c r="D25" s="252"/>
      <c r="E25" s="252"/>
      <c r="F25" s="2"/>
      <c r="G25" s="8"/>
      <c r="H25" s="224"/>
      <c r="I25" s="224"/>
      <c r="J25" s="224"/>
      <c r="K25" s="224"/>
      <c r="L25" s="224"/>
      <c r="M25" s="224"/>
      <c r="N25" s="224"/>
      <c r="O25" s="2"/>
      <c r="P25" s="158"/>
      <c r="Q25" s="126"/>
      <c r="R25" s="17"/>
      <c r="T25" s="193"/>
      <c r="U25" s="193"/>
      <c r="V25" s="193"/>
      <c r="W25" s="57"/>
      <c r="Y25" s="191"/>
      <c r="Z25" s="191"/>
      <c r="AA25" s="191"/>
      <c r="AB25" s="57"/>
      <c r="AD25" s="46"/>
      <c r="AE25" s="51"/>
      <c r="AF25" s="19"/>
      <c r="AG25" s="122"/>
    </row>
    <row r="26" spans="2:34" ht="15.75" customHeight="1" x14ac:dyDescent="0.25">
      <c r="B26" s="140"/>
      <c r="C26" s="252"/>
      <c r="D26" s="252"/>
      <c r="E26" s="252"/>
      <c r="F26" s="169">
        <f>F24*C7</f>
        <v>30000</v>
      </c>
      <c r="G26" s="8"/>
      <c r="H26" s="259" t="str">
        <f>IF(OR($AD$7=4,$AD$7=1),"3-2-1 Buydown","")</f>
        <v>3-2-1 Buydown</v>
      </c>
      <c r="I26" s="259"/>
      <c r="J26" s="259"/>
      <c r="K26" s="230">
        <f>IF(OR($AD$7=4,$AD$7=1),IF(OR(ISBLANK($F$30),$F$30=0),($C$7*F24)-AC40,F30-AC40),"")</f>
        <v>7227.52</v>
      </c>
      <c r="L26" s="10"/>
      <c r="M26" s="237" t="str">
        <f>IF(OR($AD$7=4,$AD$7=1),IF(K26&gt;0,IF(-K26+N19&gt;0,CONCATENATE("(",TEXT(-K26+N19,"$#,##0")," Closing Cost Left to Pay)"),CONCATENATE("(",TEXT(K26-N19,"$#,##0")," Less Cashback/More Points)")),"Need More cashback"),"")</f>
        <v>($12,160 Closing Cost Left to Pay)</v>
      </c>
      <c r="N26" s="237"/>
      <c r="O26" s="237"/>
      <c r="P26" s="158"/>
      <c r="Q26" s="126"/>
      <c r="R26" s="17"/>
      <c r="S26" s="259" t="str">
        <f>IF(OR($AD$7=4,$AD$7=1,$AD$7=2),"Difference in Monthly Payment:","")</f>
        <v>Difference in Monthly Payment:</v>
      </c>
      <c r="T26" s="259"/>
      <c r="U26" s="259"/>
      <c r="V26" s="259"/>
      <c r="W26" s="386">
        <f>IF(OR($AD$7=4,$AD$7=1,$AD$7=2),ROUND(SUM(O7-AC24),2),"")</f>
        <v>498.34</v>
      </c>
      <c r="X26" s="386"/>
      <c r="Y26" s="388" t="str">
        <f>IF(OR($AD$7=4,$AD$7=1,$AD$7=2),"Multiplied by 12","")</f>
        <v>Multiplied by 12</v>
      </c>
      <c r="Z26" s="388"/>
      <c r="AA26" s="388"/>
      <c r="AB26" s="388"/>
      <c r="AC26" s="185">
        <f>IF(OR($AD$7=4,$AD$7=1,$AD$7=2),ROUND(SUM(W26*12),2),"")</f>
        <v>5980.08</v>
      </c>
      <c r="AD26" s="247" t="str">
        <f>IF(OR($AD$7=4,$AD$7=1,$AD$7=2),"(annual saving)","")</f>
        <v>(annual saving)</v>
      </c>
      <c r="AE26" s="247"/>
      <c r="AF26" s="19"/>
      <c r="AG26" s="122"/>
    </row>
    <row r="27" spans="2:34" ht="3" customHeight="1" thickBot="1" x14ac:dyDescent="0.3">
      <c r="B27" s="140"/>
      <c r="C27" s="2"/>
      <c r="D27" s="2"/>
      <c r="E27" s="2"/>
      <c r="F27" s="2"/>
      <c r="G27" s="8"/>
      <c r="H27" s="259"/>
      <c r="I27" s="259"/>
      <c r="J27" s="259"/>
      <c r="K27" s="230"/>
      <c r="L27" s="2"/>
      <c r="M27" s="237"/>
      <c r="N27" s="237"/>
      <c r="O27" s="237"/>
      <c r="P27" s="158"/>
      <c r="Q27" s="126"/>
      <c r="R27" s="22"/>
      <c r="S27" s="47"/>
      <c r="T27" s="47"/>
      <c r="U27" s="47"/>
      <c r="V27" s="47"/>
      <c r="W27" s="47"/>
      <c r="X27" s="47"/>
      <c r="Y27" s="47"/>
      <c r="Z27" s="48"/>
      <c r="AA27" s="47"/>
      <c r="AB27" s="47"/>
      <c r="AC27" s="47"/>
      <c r="AD27" s="47"/>
      <c r="AE27" s="47"/>
      <c r="AF27" s="23"/>
      <c r="AG27" s="122"/>
    </row>
    <row r="28" spans="2:34" ht="3" customHeight="1" thickBot="1" x14ac:dyDescent="0.3">
      <c r="B28" s="140"/>
      <c r="C28" s="58"/>
      <c r="D28" s="58"/>
      <c r="E28" s="58"/>
      <c r="F28" s="2"/>
      <c r="G28" s="8"/>
      <c r="H28" s="176"/>
      <c r="I28" s="176"/>
      <c r="J28" s="176"/>
      <c r="K28" s="164"/>
      <c r="L28" s="2"/>
      <c r="M28" s="204"/>
      <c r="N28" s="204"/>
      <c r="O28" s="204"/>
      <c r="P28" s="158"/>
      <c r="Q28" s="83"/>
      <c r="R28" s="135"/>
      <c r="S28" s="136"/>
      <c r="T28" s="136"/>
      <c r="U28" s="136"/>
      <c r="V28" s="136"/>
      <c r="W28" s="136"/>
      <c r="X28" s="136"/>
      <c r="Y28" s="136"/>
      <c r="Z28" s="98"/>
      <c r="AA28" s="136"/>
      <c r="AB28" s="136"/>
      <c r="AC28" s="136"/>
      <c r="AD28" s="136"/>
      <c r="AE28" s="136"/>
      <c r="AF28" s="122"/>
      <c r="AG28" s="122"/>
    </row>
    <row r="29" spans="2:34" ht="3" customHeight="1" x14ac:dyDescent="0.25">
      <c r="B29" s="140"/>
      <c r="G29" s="8"/>
      <c r="H29" s="257" t="str">
        <f>IF(OR($AD$7=4,$AD$7=2),"2-1 Buydown","")</f>
        <v>2-1 Buydown</v>
      </c>
      <c r="I29" s="257"/>
      <c r="J29" s="257"/>
      <c r="K29" s="265">
        <f>IF(OR($AD$7=4,$AD$7=2),IF(OR(ISBLANK(F30),F30=0),($C$7*F24)-AC42,F30-AC42),"")</f>
        <v>15952.720000000001</v>
      </c>
      <c r="L29" s="10"/>
      <c r="M29" s="238" t="str">
        <f>IF(OR($AD$7=4,$AD$7=2),IF(K29&gt;=0,IF(-K29+N19&gt;0,CONCATENATE("(",TEXT(-K29+N19,"$#,##0")," Closing Cost Left to Pay)"),CONCATENATE("(",TEXT(K29-N19,"$#,##0")," Less Cashback/More Points)")),"Need More cashback"),"")</f>
        <v>($3,435 Closing Cost Left to Pay)</v>
      </c>
      <c r="N29" s="238"/>
      <c r="O29" s="238"/>
      <c r="P29" s="158"/>
      <c r="Q29" s="126"/>
      <c r="R29" s="14"/>
      <c r="S29" s="53"/>
      <c r="T29" s="53"/>
      <c r="U29" s="53"/>
      <c r="V29" s="53"/>
      <c r="W29" s="53"/>
      <c r="X29" s="53"/>
      <c r="Y29" s="53"/>
      <c r="Z29" s="50"/>
      <c r="AA29" s="53"/>
      <c r="AB29" s="53"/>
      <c r="AC29" s="53"/>
      <c r="AD29" s="53"/>
      <c r="AE29" s="53"/>
      <c r="AF29" s="16"/>
      <c r="AG29" s="122"/>
    </row>
    <row r="30" spans="2:34" ht="15" customHeight="1" thickBot="1" x14ac:dyDescent="0.3">
      <c r="B30" s="140"/>
      <c r="C30" s="258" t="s">
        <v>20</v>
      </c>
      <c r="D30" s="258"/>
      <c r="E30" s="258"/>
      <c r="F30" s="172">
        <v>25000</v>
      </c>
      <c r="G30" s="8"/>
      <c r="H30" s="257"/>
      <c r="I30" s="257"/>
      <c r="J30" s="257"/>
      <c r="K30" s="265"/>
      <c r="M30" s="238"/>
      <c r="N30" s="238"/>
      <c r="O30" s="238"/>
      <c r="P30" s="158"/>
      <c r="Q30" s="126"/>
      <c r="R30" s="17"/>
      <c r="S30" s="243">
        <v>0.01</v>
      </c>
      <c r="T30" s="243"/>
      <c r="U30" s="243"/>
      <c r="V30" s="243"/>
      <c r="W30" s="243"/>
      <c r="X30" s="243"/>
      <c r="Y30" s="243"/>
      <c r="Z30" s="243"/>
      <c r="AA30" s="243"/>
      <c r="AB30" s="243"/>
      <c r="AC30" s="243"/>
      <c r="AD30" s="243"/>
      <c r="AE30" s="243"/>
      <c r="AF30" s="18"/>
      <c r="AG30" s="123"/>
    </row>
    <row r="31" spans="2:34" ht="3" customHeight="1" x14ac:dyDescent="0.25">
      <c r="B31" s="140"/>
      <c r="C31" s="256"/>
      <c r="D31" s="256"/>
      <c r="E31" s="56">
        <v>4</v>
      </c>
      <c r="F31" s="222" t="str">
        <f>IF(F30&gt;0,CONCATENATE("(",TEXT(F30/C7*100,"0.000")," %)"),"")</f>
        <v>(5.000 %)</v>
      </c>
      <c r="G31" s="8"/>
      <c r="H31" s="177"/>
      <c r="I31" s="177"/>
      <c r="J31" s="177"/>
      <c r="L31" s="10"/>
      <c r="M31" s="205"/>
      <c r="N31" s="205"/>
      <c r="O31" s="205"/>
      <c r="P31" s="158"/>
      <c r="Q31" s="126"/>
      <c r="R31" s="17"/>
      <c r="S31" s="51"/>
      <c r="T31" s="51"/>
      <c r="U31" s="51"/>
      <c r="V31" s="51"/>
      <c r="W31" s="51"/>
      <c r="X31" s="51"/>
      <c r="Y31" s="51"/>
      <c r="Z31" s="52"/>
      <c r="AA31" s="51"/>
      <c r="AB31" s="51"/>
      <c r="AC31" s="51"/>
      <c r="AD31" s="51"/>
      <c r="AE31" s="51"/>
      <c r="AF31" s="19"/>
      <c r="AG31" s="122"/>
    </row>
    <row r="32" spans="2:34" ht="15" customHeight="1" x14ac:dyDescent="0.25">
      <c r="B32" s="140"/>
      <c r="C32" s="11"/>
      <c r="D32" s="9"/>
      <c r="F32" s="223"/>
      <c r="G32" s="8"/>
      <c r="H32" s="257" t="str">
        <f>IF(OR($AD$7=4,$AD$7=5),"1-1 Buydown","")</f>
        <v>1-1 Buydown</v>
      </c>
      <c r="I32" s="257"/>
      <c r="J32" s="257"/>
      <c r="K32" s="207">
        <f>IF(OR($AD$7=4,$AD$7=5),IF(OR(ISBLANK(F30),F30=0),($C$7*F24)-(AC44),F30-(AC44)),"")</f>
        <v>18865.599999999999</v>
      </c>
      <c r="M32" s="238" t="str">
        <f>IF(OR($AD$7=4,$AD$7=5),IF(K32&gt;0,IF(-K32+N19&gt;0,CONCATENATE("(",TEXT(-K32+N19,"$#,##0")," Closing Cost Left to Pay)"),CONCATENATE("(",TEXT(K32-N19,"$#,##0")," Less Cashback/More Points)")),"Need More cashback"),"")</f>
        <v>($522 Closing Cost Left to Pay)</v>
      </c>
      <c r="N32" s="238"/>
      <c r="O32" s="238"/>
      <c r="P32" s="158"/>
      <c r="Q32" s="126"/>
      <c r="R32" s="17"/>
      <c r="S32" s="274" t="s">
        <v>69</v>
      </c>
      <c r="T32" s="274"/>
      <c r="U32" s="274"/>
      <c r="V32" s="194">
        <f>SUM(M7-0.01)</f>
        <v>5.3749999999999999E-2</v>
      </c>
      <c r="W32" s="43"/>
      <c r="X32" s="273" t="s">
        <v>64</v>
      </c>
      <c r="Y32" s="273"/>
      <c r="Z32" s="273"/>
      <c r="AA32" s="273"/>
      <c r="AB32" s="43"/>
      <c r="AC32" s="185">
        <f>PMT(V32/12,K7,-F7)</f>
        <v>2239.8849550334871</v>
      </c>
      <c r="AD32" s="44"/>
      <c r="AE32" s="45"/>
      <c r="AF32" s="21"/>
      <c r="AG32" s="124"/>
    </row>
    <row r="33" spans="2:33" ht="2.1" customHeight="1" x14ac:dyDescent="0.25">
      <c r="B33" s="140"/>
      <c r="C33" s="277" t="s">
        <v>66</v>
      </c>
      <c r="D33" s="277"/>
      <c r="E33" s="277"/>
      <c r="F33" s="277"/>
      <c r="G33" s="277"/>
      <c r="H33" s="177"/>
      <c r="I33" s="177"/>
      <c r="J33" s="177"/>
      <c r="L33" s="10"/>
      <c r="M33" s="205"/>
      <c r="N33" s="205"/>
      <c r="O33" s="205"/>
      <c r="P33" s="158"/>
      <c r="Q33" s="126"/>
      <c r="R33" s="17"/>
      <c r="S33" s="74"/>
      <c r="T33" s="74"/>
      <c r="U33" s="74"/>
      <c r="V33" s="76"/>
      <c r="W33" s="43"/>
      <c r="X33" s="43"/>
      <c r="Y33" s="43"/>
      <c r="Z33" s="43"/>
      <c r="AA33" s="43"/>
      <c r="AB33" s="43"/>
      <c r="AC33" s="197"/>
      <c r="AD33" s="44"/>
      <c r="AE33" s="45"/>
      <c r="AF33" s="21"/>
      <c r="AG33" s="124"/>
    </row>
    <row r="34" spans="2:33" ht="15" customHeight="1" x14ac:dyDescent="0.25">
      <c r="B34" s="140"/>
      <c r="C34" s="277"/>
      <c r="D34" s="277"/>
      <c r="E34" s="277"/>
      <c r="F34" s="277"/>
      <c r="G34" s="277"/>
      <c r="H34" s="257" t="str">
        <f>IF(OR($AD$7=4,$AD$7=3),"1-0 Buydown","")</f>
        <v>1-0 Buydown</v>
      </c>
      <c r="I34" s="257"/>
      <c r="J34" s="257"/>
      <c r="K34" s="207">
        <f>IF(OR($AD$7=4,$AD$7=3),IF(OR(ISBLANK(F30),F30=0),($C$7*F24)-AC46,F30-AC46),"")</f>
        <v>21932.799999999999</v>
      </c>
      <c r="M34" s="238" t="str">
        <f>IF(OR($AD$7=4,$AD$7=3),IF(K34&gt;0,IF(-K34+N19&gt;0,CONCATENATE("(",TEXT(-K34+N19,"$#,##0")," Closing Cost Left to Pay)"),CONCATENATE("(",TEXT(K34-N19,"$#,##0")," Less Cashback/More Points)")),"Need More cashback"),"")</f>
        <v>($2,545 Less Cashback/More Points)</v>
      </c>
      <c r="N34" s="238"/>
      <c r="O34" s="238"/>
      <c r="P34" s="158"/>
      <c r="Q34" s="126"/>
      <c r="R34" s="17"/>
      <c r="S34" s="259" t="s">
        <v>67</v>
      </c>
      <c r="T34" s="259"/>
      <c r="U34" s="259"/>
      <c r="V34" s="259"/>
      <c r="W34" s="386">
        <f>ROUND(SUM(O7-AC32),2)</f>
        <v>255.6</v>
      </c>
      <c r="X34" s="386"/>
      <c r="Y34" s="388" t="s">
        <v>68</v>
      </c>
      <c r="Z34" s="388"/>
      <c r="AA34" s="388"/>
      <c r="AB34" s="57"/>
      <c r="AC34" s="185">
        <f>ROUND(SUM(W34*12),2)</f>
        <v>3067.2</v>
      </c>
      <c r="AD34" s="246" t="s">
        <v>63</v>
      </c>
      <c r="AE34" s="246"/>
      <c r="AF34" s="19"/>
      <c r="AG34" s="122"/>
    </row>
    <row r="35" spans="2:33" ht="2.1" customHeight="1" thickBot="1" x14ac:dyDescent="0.3">
      <c r="B35" s="140"/>
      <c r="C35" s="277"/>
      <c r="D35" s="277"/>
      <c r="E35" s="277"/>
      <c r="F35" s="277"/>
      <c r="G35" s="277"/>
      <c r="H35" s="72"/>
      <c r="I35" s="72"/>
      <c r="L35" s="72"/>
      <c r="M35" s="72"/>
      <c r="N35" s="72"/>
      <c r="O35" s="72"/>
      <c r="P35" s="158"/>
      <c r="Q35" s="126"/>
      <c r="R35" s="22"/>
      <c r="S35" s="47"/>
      <c r="T35" s="47"/>
      <c r="U35" s="47"/>
      <c r="V35" s="47"/>
      <c r="W35" s="47"/>
      <c r="X35" s="47"/>
      <c r="Y35" s="47"/>
      <c r="Z35" s="48"/>
      <c r="AA35" s="47"/>
      <c r="AB35" s="47"/>
      <c r="AC35" s="47"/>
      <c r="AD35" s="47"/>
      <c r="AE35" s="47"/>
      <c r="AF35" s="23"/>
      <c r="AG35" s="122"/>
    </row>
    <row r="36" spans="2:33" ht="3" customHeight="1" thickBot="1" x14ac:dyDescent="0.3">
      <c r="B36" s="140"/>
      <c r="C36" s="277"/>
      <c r="D36" s="277"/>
      <c r="E36" s="277"/>
      <c r="F36" s="277"/>
      <c r="G36" s="277"/>
      <c r="H36" s="72"/>
      <c r="I36" s="72"/>
      <c r="J36" s="72"/>
      <c r="K36" s="72"/>
      <c r="L36" s="72"/>
      <c r="M36" s="72"/>
      <c r="N36" s="72"/>
      <c r="O36" s="72"/>
      <c r="P36" s="158"/>
      <c r="Q36" s="83"/>
      <c r="R36" s="135"/>
      <c r="S36" s="75"/>
      <c r="T36" s="75"/>
      <c r="U36" s="75"/>
      <c r="V36" s="75"/>
      <c r="W36" s="75"/>
      <c r="X36" s="75"/>
      <c r="Y36" s="75"/>
      <c r="Z36" s="85"/>
      <c r="AA36" s="75"/>
      <c r="AB36" s="75"/>
      <c r="AC36" s="75"/>
      <c r="AD36" s="75"/>
      <c r="AE36" s="75"/>
      <c r="AF36" s="122"/>
      <c r="AG36" s="122"/>
    </row>
    <row r="37" spans="2:33" ht="3" customHeight="1" x14ac:dyDescent="0.25">
      <c r="B37" s="140"/>
      <c r="C37" s="277"/>
      <c r="D37" s="277"/>
      <c r="E37" s="277"/>
      <c r="F37" s="277"/>
      <c r="G37" s="277"/>
      <c r="J37" s="1"/>
      <c r="L37" s="77"/>
      <c r="N37" s="78"/>
      <c r="O37" s="78"/>
      <c r="P37" s="158"/>
      <c r="Q37" s="126"/>
      <c r="R37" s="14"/>
      <c r="S37" s="15"/>
      <c r="T37" s="15"/>
      <c r="U37" s="15"/>
      <c r="V37" s="15"/>
      <c r="W37" s="15"/>
      <c r="X37" s="15"/>
      <c r="Y37" s="15"/>
      <c r="Z37" s="33"/>
      <c r="AA37" s="15"/>
      <c r="AB37" s="15"/>
      <c r="AC37" s="15"/>
      <c r="AD37" s="15"/>
      <c r="AE37" s="15"/>
      <c r="AF37" s="16"/>
      <c r="AG37" s="122"/>
    </row>
    <row r="38" spans="2:33" ht="18" customHeight="1" x14ac:dyDescent="0.25">
      <c r="B38" s="140"/>
      <c r="C38" s="277"/>
      <c r="D38" s="277"/>
      <c r="E38" s="277"/>
      <c r="F38" s="277"/>
      <c r="G38" s="277"/>
      <c r="H38" s="187"/>
      <c r="I38" s="187"/>
      <c r="J38" s="187"/>
      <c r="K38" s="187"/>
      <c r="L38" s="187"/>
      <c r="M38" s="187"/>
      <c r="N38" s="187"/>
      <c r="O38" s="187"/>
      <c r="P38" s="158"/>
      <c r="Q38" s="126"/>
      <c r="R38" s="17"/>
      <c r="S38" s="243" t="s">
        <v>2</v>
      </c>
      <c r="T38" s="243"/>
      <c r="U38" s="243"/>
      <c r="V38" s="243"/>
      <c r="W38" s="243"/>
      <c r="X38" s="243"/>
      <c r="Y38" s="243"/>
      <c r="Z38" s="243"/>
      <c r="AA38" s="243"/>
      <c r="AB38" s="243"/>
      <c r="AC38" s="243"/>
      <c r="AD38" s="243"/>
      <c r="AE38" s="243"/>
      <c r="AF38" s="18"/>
      <c r="AG38" s="123"/>
    </row>
    <row r="39" spans="2:33" ht="3" customHeight="1" thickBot="1" x14ac:dyDescent="0.3">
      <c r="B39" s="140"/>
      <c r="C39" s="278" t="s">
        <v>56</v>
      </c>
      <c r="D39" s="278"/>
      <c r="E39" s="278"/>
      <c r="F39" s="278"/>
      <c r="G39" s="278"/>
      <c r="H39" s="278"/>
      <c r="I39" s="278"/>
      <c r="J39" s="278"/>
      <c r="K39" s="278"/>
      <c r="L39" s="278"/>
      <c r="M39" s="278"/>
      <c r="N39" s="278"/>
      <c r="O39" s="278"/>
      <c r="P39" s="158"/>
      <c r="Q39" s="126"/>
      <c r="R39" s="17"/>
      <c r="S39" s="8"/>
      <c r="T39" s="8"/>
      <c r="U39" s="8"/>
      <c r="V39" s="8"/>
      <c r="W39" s="8"/>
      <c r="X39" s="8"/>
      <c r="Y39" s="8"/>
      <c r="Z39" s="34"/>
      <c r="AA39" s="8"/>
      <c r="AB39" s="8"/>
      <c r="AC39" s="8"/>
      <c r="AD39" s="8"/>
      <c r="AE39" s="8"/>
      <c r="AF39" s="19"/>
      <c r="AG39" s="122"/>
    </row>
    <row r="40" spans="2:33" ht="15" customHeight="1" thickBot="1" x14ac:dyDescent="0.3">
      <c r="B40" s="140"/>
      <c r="C40" s="278"/>
      <c r="D40" s="278"/>
      <c r="E40" s="278"/>
      <c r="F40" s="278"/>
      <c r="G40" s="278"/>
      <c r="H40" s="278"/>
      <c r="I40" s="278"/>
      <c r="J40" s="278"/>
      <c r="K40" s="278"/>
      <c r="L40" s="278"/>
      <c r="M40" s="278"/>
      <c r="N40" s="278"/>
      <c r="O40" s="278"/>
      <c r="P40" s="158"/>
      <c r="Q40" s="126"/>
      <c r="R40" s="17"/>
      <c r="S40" s="259" t="str">
        <f>IF(OR($AD$7=4,$AD$7=1),"3% Annual Diff.","")</f>
        <v>3% Annual Diff.</v>
      </c>
      <c r="T40" s="259"/>
      <c r="U40" s="259"/>
      <c r="V40" s="185">
        <f>AC17</f>
        <v>8725.2000000000007</v>
      </c>
      <c r="W40" s="8"/>
      <c r="X40" s="269" t="str">
        <f>IF(OR($AD$7=4,$AD$7=1),"TOTAL COST 3-2-1 BUYDOWN"," ")</f>
        <v>TOTAL COST 3-2-1 BUYDOWN</v>
      </c>
      <c r="Y40" s="270"/>
      <c r="Z40" s="270"/>
      <c r="AA40" s="270"/>
      <c r="AB40" s="270"/>
      <c r="AC40" s="178">
        <f>IF(OR($AD$7=4,$AD$7=1),SUM(V40,V42,V44),"")</f>
        <v>17772.48</v>
      </c>
      <c r="AD40" s="271" t="str">
        <f>IF(OR($AD$7=4,$AD$7=1),CONCATENATE("(",TEXT(AC40/$C$7*100,"0.000"),"% of Price)"),"")</f>
        <v>(3.554% of Price)</v>
      </c>
      <c r="AE40" s="272"/>
      <c r="AF40" s="19"/>
      <c r="AG40" s="122"/>
    </row>
    <row r="41" spans="2:33" ht="3" customHeight="1" thickBot="1" x14ac:dyDescent="0.3">
      <c r="B41" s="140"/>
      <c r="C41" s="278"/>
      <c r="D41" s="278"/>
      <c r="E41" s="278"/>
      <c r="F41" s="278"/>
      <c r="G41" s="278"/>
      <c r="H41" s="278"/>
      <c r="I41" s="278"/>
      <c r="J41" s="278"/>
      <c r="K41" s="278"/>
      <c r="L41" s="278"/>
      <c r="M41" s="278"/>
      <c r="N41" s="278"/>
      <c r="O41" s="278"/>
      <c r="P41" s="158"/>
      <c r="Q41" s="126"/>
      <c r="R41" s="17"/>
      <c r="S41" s="181"/>
      <c r="T41" s="186"/>
      <c r="U41" s="186"/>
      <c r="V41" s="12"/>
      <c r="W41" s="8"/>
      <c r="X41" s="9"/>
      <c r="Y41" s="9"/>
      <c r="Z41" s="73"/>
      <c r="AA41" s="9"/>
      <c r="AB41" s="9"/>
      <c r="AC41" s="179"/>
      <c r="AD41" s="180"/>
      <c r="AE41" s="181"/>
      <c r="AF41" s="19"/>
      <c r="AG41" s="122"/>
    </row>
    <row r="42" spans="2:33" ht="15" customHeight="1" thickBot="1" x14ac:dyDescent="0.3">
      <c r="B42" s="140"/>
      <c r="C42" s="278"/>
      <c r="D42" s="278"/>
      <c r="E42" s="278"/>
      <c r="F42" s="278"/>
      <c r="G42" s="278"/>
      <c r="H42" s="278"/>
      <c r="I42" s="278"/>
      <c r="J42" s="278"/>
      <c r="K42" s="278"/>
      <c r="L42" s="278"/>
      <c r="M42" s="278"/>
      <c r="N42" s="278"/>
      <c r="O42" s="278"/>
      <c r="P42" s="158"/>
      <c r="Q42" s="126"/>
      <c r="R42" s="17"/>
      <c r="S42" s="259" t="str">
        <f>IF(OR($AD$7=4,$AD$7=1,$AD$7=2),"2% Annual Diff.","")</f>
        <v>2% Annual Diff.</v>
      </c>
      <c r="T42" s="259"/>
      <c r="U42" s="259"/>
      <c r="V42" s="208">
        <f>AC26</f>
        <v>5980.08</v>
      </c>
      <c r="W42" s="11"/>
      <c r="X42" s="269" t="str">
        <f>IF(OR($AD$7=4,$AD$7=2),"TOTAL COST 2-1 BUYDOWN","")</f>
        <v>TOTAL COST 2-1 BUYDOWN</v>
      </c>
      <c r="Y42" s="270"/>
      <c r="Z42" s="270"/>
      <c r="AA42" s="270"/>
      <c r="AB42" s="270"/>
      <c r="AC42" s="178">
        <f>IF(OR($AD$7=4,$AD$7=2),SUM(V42,V44),"")</f>
        <v>9047.2799999999988</v>
      </c>
      <c r="AD42" s="271" t="str">
        <f>IF(OR($AD$7=4,$AD$7=2),CONCATENATE("(",TEXT(AC42/$C$7*100,"0.000"),"% of Price)"),"")</f>
        <v>(1.809% of Price)</v>
      </c>
      <c r="AE42" s="272"/>
      <c r="AF42" s="19"/>
      <c r="AG42" s="122"/>
    </row>
    <row r="43" spans="2:33" ht="3" customHeight="1" thickBot="1" x14ac:dyDescent="0.3">
      <c r="B43" s="140"/>
      <c r="C43" s="279" t="s">
        <v>26</v>
      </c>
      <c r="D43" s="280"/>
      <c r="E43" s="280" t="s">
        <v>57</v>
      </c>
      <c r="F43" s="280"/>
      <c r="G43" s="280"/>
      <c r="H43" s="280"/>
      <c r="I43" s="363" t="s">
        <v>58</v>
      </c>
      <c r="J43" s="364"/>
      <c r="K43" s="283" t="s">
        <v>38</v>
      </c>
      <c r="L43" s="367"/>
      <c r="M43" s="367"/>
      <c r="N43" s="283" t="s">
        <v>25</v>
      </c>
      <c r="O43" s="284"/>
      <c r="P43" s="158"/>
      <c r="Q43" s="126"/>
      <c r="R43" s="17"/>
      <c r="S43" s="181"/>
      <c r="T43" s="186"/>
      <c r="U43" s="186"/>
      <c r="V43" s="12"/>
      <c r="W43" s="8"/>
      <c r="X43" s="13"/>
      <c r="Y43" s="13"/>
      <c r="Z43" s="35"/>
      <c r="AA43" s="13"/>
      <c r="AB43" s="13"/>
      <c r="AC43" s="179"/>
      <c r="AD43" s="182"/>
      <c r="AE43" s="181"/>
      <c r="AF43" s="19"/>
      <c r="AG43" s="122"/>
    </row>
    <row r="44" spans="2:33" ht="18" customHeight="1" thickBot="1" x14ac:dyDescent="0.3">
      <c r="B44" s="140"/>
      <c r="C44" s="281"/>
      <c r="D44" s="282"/>
      <c r="E44" s="282"/>
      <c r="F44" s="282"/>
      <c r="G44" s="282"/>
      <c r="H44" s="282"/>
      <c r="I44" s="365"/>
      <c r="J44" s="366"/>
      <c r="K44" s="285"/>
      <c r="L44" s="368"/>
      <c r="M44" s="368"/>
      <c r="N44" s="285"/>
      <c r="O44" s="286"/>
      <c r="P44" s="158"/>
      <c r="Q44" s="126"/>
      <c r="R44" s="17"/>
      <c r="S44" s="259" t="s">
        <v>55</v>
      </c>
      <c r="T44" s="259"/>
      <c r="U44" s="259"/>
      <c r="V44" s="185">
        <f>AC34</f>
        <v>3067.2</v>
      </c>
      <c r="W44" s="8" t="str">
        <f>IF(AD7=5,"x2","")</f>
        <v/>
      </c>
      <c r="X44" s="269" t="str">
        <f>IF(OR($AD$7=4,$AD$7=5),"TOTAL COST 1-1 BUYDOWN","")</f>
        <v>TOTAL COST 1-1 BUYDOWN</v>
      </c>
      <c r="Y44" s="270"/>
      <c r="Z44" s="270"/>
      <c r="AA44" s="270"/>
      <c r="AB44" s="270"/>
      <c r="AC44" s="178">
        <f>IF(OR($AD$7=4,$AD$7=5),(2*V44),"")</f>
        <v>6134.4</v>
      </c>
      <c r="AD44" s="271" t="str">
        <f>IF(OR($AD$7=4,$AD$7=5),CONCATENATE("(",TEXT(AC44/$C$7*100,"0.000"),"% of Price)"),"")</f>
        <v>(1.227% of Price)</v>
      </c>
      <c r="AE44" s="272"/>
      <c r="AF44" s="19"/>
      <c r="AG44" s="122"/>
    </row>
    <row r="45" spans="2:33" ht="3" customHeight="1" thickBot="1" x14ac:dyDescent="0.3">
      <c r="B45" s="140"/>
      <c r="C45" s="357" t="s">
        <v>24</v>
      </c>
      <c r="D45" s="358"/>
      <c r="E45" s="351" t="s">
        <v>30</v>
      </c>
      <c r="F45" s="352"/>
      <c r="G45" s="352"/>
      <c r="H45" s="352"/>
      <c r="I45" s="369" t="s">
        <v>27</v>
      </c>
      <c r="J45" s="370"/>
      <c r="K45" s="375" t="s">
        <v>10</v>
      </c>
      <c r="L45" s="375"/>
      <c r="M45" s="376"/>
      <c r="N45" s="287">
        <v>0.03</v>
      </c>
      <c r="O45" s="288"/>
      <c r="P45" s="158"/>
      <c r="Q45" s="126"/>
      <c r="R45" s="17"/>
      <c r="S45" s="8"/>
      <c r="T45" s="9"/>
      <c r="U45" s="9"/>
      <c r="V45" s="12"/>
      <c r="W45" s="8"/>
      <c r="X45" s="13"/>
      <c r="Y45" s="13"/>
      <c r="Z45" s="35"/>
      <c r="AA45" s="13"/>
      <c r="AB45" s="13"/>
      <c r="AC45" s="179"/>
      <c r="AD45" s="182"/>
      <c r="AE45" s="181"/>
      <c r="AF45" s="19"/>
      <c r="AG45" s="122"/>
    </row>
    <row r="46" spans="2:33" ht="15.75" customHeight="1" thickBot="1" x14ac:dyDescent="0.25">
      <c r="B46" s="140"/>
      <c r="C46" s="359"/>
      <c r="D46" s="360"/>
      <c r="E46" s="353"/>
      <c r="F46" s="354"/>
      <c r="G46" s="354"/>
      <c r="H46" s="354"/>
      <c r="I46" s="371"/>
      <c r="J46" s="372"/>
      <c r="K46" s="377"/>
      <c r="L46" s="377"/>
      <c r="M46" s="378"/>
      <c r="N46" s="289"/>
      <c r="O46" s="290"/>
      <c r="P46" s="158"/>
      <c r="Q46" s="126"/>
      <c r="R46" s="17"/>
      <c r="S46" s="235" t="str">
        <f>IF(AD7&lt;&gt;4,"TOTAL","")</f>
        <v/>
      </c>
      <c r="T46" s="235"/>
      <c r="U46" s="1"/>
      <c r="V46" s="82" t="str">
        <f>IF(AD7=1,V40+V42+V44,IF(AD7=2,V42+V44,IF(AD7=5,V44*2,IF(AD7=3,V44,""))))</f>
        <v/>
      </c>
      <c r="W46" s="8"/>
      <c r="X46" s="269" t="str">
        <f>IF(OR($AD$7=4,$AD$7=3),"TOTAL COST 1-0 BUYDOWN","")</f>
        <v>TOTAL COST 1-0 BUYDOWN</v>
      </c>
      <c r="Y46" s="270"/>
      <c r="Z46" s="270"/>
      <c r="AA46" s="270"/>
      <c r="AB46" s="270"/>
      <c r="AC46" s="178">
        <f>IF(OR($AD$7=4,$AD$7=3),SUM(V44),"")</f>
        <v>3067.2</v>
      </c>
      <c r="AD46" s="271" t="str">
        <f>IF(OR($AD$7=4,$AD$7=3),CONCATENATE("(",TEXT(AC46/$C$7*100,"0.000"),"% of Price)"),"")</f>
        <v>(0.613% of Price)</v>
      </c>
      <c r="AE46" s="272"/>
      <c r="AF46" s="19"/>
      <c r="AG46" s="122"/>
    </row>
    <row r="47" spans="2:33" ht="2.1" customHeight="1" thickBot="1" x14ac:dyDescent="0.3">
      <c r="B47" s="140"/>
      <c r="C47" s="359"/>
      <c r="D47" s="360"/>
      <c r="E47" s="353"/>
      <c r="F47" s="354"/>
      <c r="G47" s="354"/>
      <c r="H47" s="354"/>
      <c r="I47" s="371"/>
      <c r="J47" s="372"/>
      <c r="K47" s="379" t="s">
        <v>28</v>
      </c>
      <c r="L47" s="377"/>
      <c r="M47" s="378"/>
      <c r="N47" s="291">
        <v>0.06</v>
      </c>
      <c r="O47" s="290"/>
      <c r="P47" s="158"/>
      <c r="Q47" s="126"/>
      <c r="R47" s="22"/>
      <c r="S47" s="26"/>
      <c r="T47" s="26"/>
      <c r="U47" s="26"/>
      <c r="V47" s="26"/>
      <c r="W47" s="26"/>
      <c r="X47" s="26"/>
      <c r="Y47" s="26"/>
      <c r="Z47" s="36"/>
      <c r="AA47" s="26"/>
      <c r="AB47" s="26"/>
      <c r="AC47" s="26"/>
      <c r="AD47" s="26"/>
      <c r="AE47" s="26"/>
      <c r="AF47" s="23"/>
      <c r="AG47" s="122"/>
    </row>
    <row r="48" spans="2:33" ht="5.0999999999999996" customHeight="1" x14ac:dyDescent="0.25">
      <c r="B48" s="140"/>
      <c r="C48" s="359"/>
      <c r="D48" s="360"/>
      <c r="E48" s="353"/>
      <c r="F48" s="354"/>
      <c r="G48" s="354"/>
      <c r="H48" s="354"/>
      <c r="I48" s="371"/>
      <c r="J48" s="372"/>
      <c r="K48" s="379"/>
      <c r="L48" s="377"/>
      <c r="M48" s="378"/>
      <c r="N48" s="291"/>
      <c r="O48" s="290"/>
      <c r="P48" s="158"/>
      <c r="Q48" s="83"/>
      <c r="R48" s="137"/>
      <c r="S48" s="122"/>
      <c r="T48" s="122"/>
      <c r="U48" s="122"/>
      <c r="V48" s="122"/>
      <c r="W48" s="122"/>
      <c r="X48" s="122"/>
      <c r="Y48" s="122"/>
      <c r="Z48" s="127"/>
      <c r="AA48" s="122"/>
      <c r="AB48" s="122"/>
      <c r="AC48" s="122"/>
      <c r="AD48" s="122"/>
      <c r="AE48" s="122"/>
      <c r="AF48" s="122"/>
      <c r="AG48" s="122"/>
    </row>
    <row r="49" spans="2:33" ht="3" customHeight="1" thickBot="1" x14ac:dyDescent="0.3">
      <c r="B49" s="140"/>
      <c r="C49" s="359"/>
      <c r="D49" s="360"/>
      <c r="E49" s="353"/>
      <c r="F49" s="354"/>
      <c r="G49" s="354"/>
      <c r="H49" s="354"/>
      <c r="I49" s="371"/>
      <c r="J49" s="372"/>
      <c r="K49" s="379"/>
      <c r="L49" s="377"/>
      <c r="M49" s="378"/>
      <c r="N49" s="291"/>
      <c r="O49" s="290"/>
      <c r="P49" s="158"/>
      <c r="Q49" s="83"/>
      <c r="R49" s="138"/>
      <c r="S49" s="79"/>
      <c r="T49" s="79"/>
      <c r="U49" s="79"/>
      <c r="V49" s="79"/>
      <c r="W49" s="79"/>
      <c r="X49" s="79"/>
      <c r="Y49" s="79"/>
      <c r="Z49" s="79"/>
      <c r="AA49" s="79"/>
      <c r="AB49" s="79"/>
      <c r="AC49" s="79"/>
      <c r="AD49" s="79"/>
      <c r="AE49" s="79"/>
      <c r="AF49" s="79"/>
      <c r="AG49" s="79"/>
    </row>
    <row r="50" spans="2:33" ht="2.1" customHeight="1" x14ac:dyDescent="0.25">
      <c r="B50" s="140"/>
      <c r="C50" s="359"/>
      <c r="D50" s="360"/>
      <c r="E50" s="353"/>
      <c r="F50" s="354"/>
      <c r="G50" s="354"/>
      <c r="H50" s="354"/>
      <c r="I50" s="371"/>
      <c r="J50" s="372"/>
      <c r="K50" s="379"/>
      <c r="L50" s="377"/>
      <c r="M50" s="378"/>
      <c r="N50" s="291"/>
      <c r="O50" s="290"/>
      <c r="P50" s="158"/>
      <c r="Q50" s="126"/>
      <c r="R50" s="86"/>
      <c r="S50" s="87"/>
      <c r="T50" s="87"/>
      <c r="U50" s="87"/>
      <c r="V50" s="87"/>
      <c r="W50" s="87"/>
      <c r="X50" s="87"/>
      <c r="Y50" s="87"/>
      <c r="Z50" s="87"/>
      <c r="AA50" s="87"/>
      <c r="AB50" s="87"/>
      <c r="AC50" s="87"/>
      <c r="AD50" s="87"/>
      <c r="AE50" s="87"/>
      <c r="AF50" s="88"/>
      <c r="AG50" s="79"/>
    </row>
    <row r="51" spans="2:33" ht="2.1" customHeight="1" x14ac:dyDescent="0.25">
      <c r="B51" s="140"/>
      <c r="C51" s="359"/>
      <c r="D51" s="360"/>
      <c r="E51" s="353"/>
      <c r="F51" s="354"/>
      <c r="G51" s="354"/>
      <c r="H51" s="354"/>
      <c r="I51" s="371"/>
      <c r="J51" s="372"/>
      <c r="K51" s="377" t="s">
        <v>11</v>
      </c>
      <c r="L51" s="377"/>
      <c r="M51" s="378"/>
      <c r="N51" s="239">
        <v>0.09</v>
      </c>
      <c r="O51" s="240"/>
      <c r="P51" s="158"/>
      <c r="Q51" s="126"/>
      <c r="R51" s="89"/>
      <c r="AF51" s="90"/>
      <c r="AG51" s="79"/>
    </row>
    <row r="52" spans="2:33" ht="15" customHeight="1" thickBot="1" x14ac:dyDescent="0.3">
      <c r="B52" s="140"/>
      <c r="C52" s="359"/>
      <c r="D52" s="360"/>
      <c r="E52" s="353"/>
      <c r="F52" s="354"/>
      <c r="G52" s="354"/>
      <c r="H52" s="354"/>
      <c r="I52" s="373"/>
      <c r="J52" s="374"/>
      <c r="K52" s="380"/>
      <c r="L52" s="380"/>
      <c r="M52" s="381"/>
      <c r="N52" s="241"/>
      <c r="O52" s="242"/>
      <c r="P52" s="158"/>
      <c r="Q52" s="126"/>
      <c r="R52" s="89"/>
      <c r="S52" s="236" t="s">
        <v>54</v>
      </c>
      <c r="T52" s="236"/>
      <c r="U52" s="236"/>
      <c r="V52" s="236"/>
      <c r="W52" s="236"/>
      <c r="X52" s="236"/>
      <c r="Y52" s="236"/>
      <c r="Z52" s="236"/>
      <c r="AA52" s="236"/>
      <c r="AB52" s="236"/>
      <c r="AC52" s="236"/>
      <c r="AD52" s="236"/>
      <c r="AE52" s="236"/>
      <c r="AF52" s="90"/>
      <c r="AG52" s="79"/>
    </row>
    <row r="53" spans="2:33" ht="2.1" customHeight="1" x14ac:dyDescent="0.25">
      <c r="B53" s="140"/>
      <c r="C53" s="359"/>
      <c r="D53" s="360"/>
      <c r="E53" s="353"/>
      <c r="F53" s="354"/>
      <c r="G53" s="354"/>
      <c r="H53" s="354"/>
      <c r="I53" s="313" t="s">
        <v>29</v>
      </c>
      <c r="J53" s="315"/>
      <c r="K53" s="313" t="s">
        <v>31</v>
      </c>
      <c r="L53" s="314"/>
      <c r="M53" s="315"/>
      <c r="N53" s="322">
        <v>0.02</v>
      </c>
      <c r="O53" s="323"/>
      <c r="P53" s="158"/>
      <c r="Q53" s="126"/>
      <c r="R53" s="91"/>
      <c r="S53" s="92"/>
      <c r="T53" s="92"/>
      <c r="U53" s="92"/>
      <c r="V53" s="92"/>
      <c r="W53" s="92"/>
      <c r="X53" s="92"/>
      <c r="Y53" s="92"/>
      <c r="Z53" s="92"/>
      <c r="AA53" s="92"/>
      <c r="AB53" s="92"/>
      <c r="AC53" s="92"/>
      <c r="AD53" s="92"/>
      <c r="AE53" s="92"/>
      <c r="AF53" s="93"/>
      <c r="AG53" s="125"/>
    </row>
    <row r="54" spans="2:33" ht="15" customHeight="1" x14ac:dyDescent="0.25">
      <c r="B54" s="140"/>
      <c r="C54" s="359"/>
      <c r="D54" s="360"/>
      <c r="E54" s="353"/>
      <c r="F54" s="354"/>
      <c r="G54" s="354"/>
      <c r="H54" s="354"/>
      <c r="I54" s="316"/>
      <c r="J54" s="318"/>
      <c r="K54" s="316"/>
      <c r="L54" s="317"/>
      <c r="M54" s="318"/>
      <c r="N54" s="324"/>
      <c r="O54" s="325"/>
      <c r="P54" s="158"/>
      <c r="Q54" s="126"/>
      <c r="R54" s="91"/>
      <c r="S54" s="233" t="s">
        <v>52</v>
      </c>
      <c r="T54" s="233"/>
      <c r="U54" s="233"/>
      <c r="V54" s="233"/>
      <c r="W54" s="230">
        <f>IF(OR(ISBLANK($F$30),$F$30=0),F26,F30)</f>
        <v>25000</v>
      </c>
      <c r="X54" s="230"/>
      <c r="Y54" s="81"/>
      <c r="Z54" s="229" t="s">
        <v>44</v>
      </c>
      <c r="AA54" s="229"/>
      <c r="AB54" s="229"/>
      <c r="AC54" s="229"/>
      <c r="AD54" s="244">
        <f>C7-W54</f>
        <v>475000</v>
      </c>
      <c r="AE54" s="244"/>
      <c r="AF54" s="93"/>
      <c r="AG54" s="125"/>
    </row>
    <row r="55" spans="2:33" ht="3" customHeight="1" thickBot="1" x14ac:dyDescent="0.3">
      <c r="B55" s="140"/>
      <c r="C55" s="361"/>
      <c r="D55" s="362"/>
      <c r="E55" s="355"/>
      <c r="F55" s="356"/>
      <c r="G55" s="356"/>
      <c r="H55" s="356"/>
      <c r="I55" s="319"/>
      <c r="J55" s="321"/>
      <c r="K55" s="319"/>
      <c r="L55" s="320"/>
      <c r="M55" s="321"/>
      <c r="N55" s="326"/>
      <c r="O55" s="327"/>
      <c r="P55" s="158"/>
      <c r="Q55" s="126"/>
      <c r="R55" s="91"/>
      <c r="W55" s="174"/>
      <c r="X55" s="174"/>
      <c r="AC55" s="174"/>
      <c r="AD55" s="174"/>
      <c r="AF55" s="93"/>
      <c r="AG55" s="125"/>
    </row>
    <row r="56" spans="2:33" ht="15.95" customHeight="1" x14ac:dyDescent="0.25">
      <c r="B56" s="140"/>
      <c r="C56" s="342" t="s">
        <v>32</v>
      </c>
      <c r="D56" s="343"/>
      <c r="E56" s="348" t="s">
        <v>30</v>
      </c>
      <c r="F56" s="348"/>
      <c r="G56" s="348"/>
      <c r="H56" s="348"/>
      <c r="I56" s="304" t="s">
        <v>34</v>
      </c>
      <c r="J56" s="306"/>
      <c r="K56" s="304" t="s">
        <v>37</v>
      </c>
      <c r="L56" s="305"/>
      <c r="M56" s="306"/>
      <c r="N56" s="298">
        <v>0.06</v>
      </c>
      <c r="O56" s="299"/>
      <c r="P56" s="158"/>
      <c r="Q56" s="126"/>
      <c r="R56" s="89"/>
      <c r="S56" s="229" t="s">
        <v>45</v>
      </c>
      <c r="T56" s="229"/>
      <c r="U56" s="229"/>
      <c r="V56" s="229"/>
      <c r="W56" s="230">
        <f>I7*AD54</f>
        <v>380000</v>
      </c>
      <c r="X56" s="230"/>
      <c r="Z56" s="229" t="s">
        <v>46</v>
      </c>
      <c r="AA56" s="229"/>
      <c r="AB56" s="229"/>
      <c r="AC56" s="229"/>
      <c r="AD56" s="244">
        <f>AD54-W56</f>
        <v>95000</v>
      </c>
      <c r="AE56" s="244"/>
      <c r="AF56" s="90"/>
      <c r="AG56" s="79"/>
    </row>
    <row r="57" spans="2:33" ht="2.1" customHeight="1" x14ac:dyDescent="0.25">
      <c r="B57" s="140"/>
      <c r="C57" s="344"/>
      <c r="D57" s="345"/>
      <c r="E57" s="349"/>
      <c r="F57" s="349"/>
      <c r="G57" s="349"/>
      <c r="H57" s="349"/>
      <c r="I57" s="307"/>
      <c r="J57" s="309"/>
      <c r="K57" s="307"/>
      <c r="L57" s="308"/>
      <c r="M57" s="309"/>
      <c r="N57" s="300"/>
      <c r="O57" s="301"/>
      <c r="P57" s="158"/>
      <c r="Q57" s="126"/>
      <c r="R57" s="89"/>
      <c r="W57" s="174"/>
      <c r="X57" s="174"/>
      <c r="AF57" s="90"/>
      <c r="AG57" s="79"/>
    </row>
    <row r="58" spans="2:33" ht="15.95" customHeight="1" thickBot="1" x14ac:dyDescent="0.3">
      <c r="B58" s="140"/>
      <c r="C58" s="346"/>
      <c r="D58" s="347"/>
      <c r="E58" s="350"/>
      <c r="F58" s="350"/>
      <c r="G58" s="350"/>
      <c r="H58" s="350"/>
      <c r="I58" s="310"/>
      <c r="J58" s="312"/>
      <c r="K58" s="310"/>
      <c r="L58" s="311"/>
      <c r="M58" s="312"/>
      <c r="N58" s="302"/>
      <c r="O58" s="303"/>
      <c r="P58" s="158"/>
      <c r="Q58" s="126"/>
      <c r="R58" s="89"/>
      <c r="S58" s="229" t="s">
        <v>47</v>
      </c>
      <c r="T58" s="229"/>
      <c r="U58" s="229"/>
      <c r="V58" s="229"/>
      <c r="W58" s="230">
        <f>ROUND(PMT(M7/12,K7,-W56),2)</f>
        <v>2370.71</v>
      </c>
      <c r="X58" s="230"/>
      <c r="AA58" s="229" t="s">
        <v>65</v>
      </c>
      <c r="AB58" s="229"/>
      <c r="AC58" s="229"/>
      <c r="AD58" s="244">
        <f>I17/100*W56</f>
        <v>2090</v>
      </c>
      <c r="AE58" s="244"/>
      <c r="AF58" s="90"/>
      <c r="AG58" s="79"/>
    </row>
    <row r="59" spans="2:33" ht="3" customHeight="1" x14ac:dyDescent="0.25">
      <c r="B59" s="140"/>
      <c r="C59" s="333" t="s">
        <v>33</v>
      </c>
      <c r="D59" s="334"/>
      <c r="E59" s="339" t="s">
        <v>36</v>
      </c>
      <c r="F59" s="339"/>
      <c r="G59" s="339"/>
      <c r="H59" s="339"/>
      <c r="I59" s="383" t="s">
        <v>34</v>
      </c>
      <c r="J59" s="383"/>
      <c r="K59" s="383" t="s">
        <v>35</v>
      </c>
      <c r="L59" s="383"/>
      <c r="M59" s="383"/>
      <c r="N59" s="292" t="s">
        <v>59</v>
      </c>
      <c r="O59" s="293"/>
      <c r="P59" s="158"/>
      <c r="Q59" s="126"/>
      <c r="R59" s="89"/>
      <c r="W59" s="174"/>
      <c r="X59" s="174"/>
      <c r="AF59" s="90"/>
      <c r="AG59" s="79"/>
    </row>
    <row r="60" spans="2:33" ht="20.100000000000001" customHeight="1" x14ac:dyDescent="0.25">
      <c r="B60" s="140"/>
      <c r="C60" s="335"/>
      <c r="D60" s="336"/>
      <c r="E60" s="340"/>
      <c r="F60" s="340"/>
      <c r="G60" s="340"/>
      <c r="H60" s="340"/>
      <c r="I60" s="384"/>
      <c r="J60" s="384"/>
      <c r="K60" s="384"/>
      <c r="L60" s="384"/>
      <c r="M60" s="384"/>
      <c r="N60" s="294"/>
      <c r="O60" s="295"/>
      <c r="P60" s="158"/>
      <c r="Q60" s="126"/>
      <c r="R60" s="89"/>
      <c r="S60" s="231" t="s">
        <v>48</v>
      </c>
      <c r="T60" s="231"/>
      <c r="U60" s="231"/>
      <c r="V60" s="231"/>
      <c r="W60" s="232" t="str">
        <f>CONCATENATE(TEXT(O7-W58,"$#,##0")," /mo.")</f>
        <v>$125 /mo.</v>
      </c>
      <c r="X60" s="232"/>
      <c r="Y60" s="245" t="s">
        <v>71</v>
      </c>
      <c r="Z60" s="245"/>
      <c r="AA60" s="245"/>
      <c r="AB60" s="245"/>
      <c r="AC60" s="245"/>
      <c r="AD60" s="245"/>
      <c r="AE60" s="175">
        <f>F9-AD56+K17-I17/100*W56</f>
        <v>5110</v>
      </c>
      <c r="AF60" s="90"/>
      <c r="AG60" s="79"/>
    </row>
    <row r="61" spans="2:33" ht="5.0999999999999996" customHeight="1" thickBot="1" x14ac:dyDescent="0.3">
      <c r="B61" s="140"/>
      <c r="C61" s="335"/>
      <c r="D61" s="336"/>
      <c r="E61" s="340"/>
      <c r="F61" s="340"/>
      <c r="G61" s="340"/>
      <c r="H61" s="340"/>
      <c r="I61" s="384"/>
      <c r="J61" s="384"/>
      <c r="K61" s="384"/>
      <c r="L61" s="384"/>
      <c r="M61" s="384"/>
      <c r="N61" s="294"/>
      <c r="O61" s="295"/>
      <c r="P61" s="158"/>
      <c r="Q61" s="126"/>
      <c r="R61" s="89"/>
      <c r="Y61" s="31"/>
      <c r="AF61" s="90"/>
      <c r="AG61" s="79"/>
    </row>
    <row r="62" spans="2:33" ht="20.100000000000001" customHeight="1" thickBot="1" x14ac:dyDescent="0.35">
      <c r="B62" s="140"/>
      <c r="C62" s="337"/>
      <c r="D62" s="338"/>
      <c r="E62" s="341"/>
      <c r="F62" s="341"/>
      <c r="G62" s="341"/>
      <c r="H62" s="341"/>
      <c r="I62" s="385"/>
      <c r="J62" s="385"/>
      <c r="K62" s="385"/>
      <c r="L62" s="385"/>
      <c r="M62" s="385"/>
      <c r="N62" s="296"/>
      <c r="O62" s="297"/>
      <c r="P62" s="158"/>
      <c r="Q62" s="126"/>
      <c r="R62" s="89"/>
      <c r="T62" s="94"/>
      <c r="U62" s="94"/>
      <c r="V62" s="227" t="s">
        <v>49</v>
      </c>
      <c r="W62" s="228"/>
      <c r="X62" s="228"/>
      <c r="Y62" s="228"/>
      <c r="Z62" s="225">
        <f>36*(O7-W58)+AE60</f>
        <v>9601.7199999999993</v>
      </c>
      <c r="AA62" s="226"/>
      <c r="AF62" s="90"/>
      <c r="AG62" s="79"/>
    </row>
    <row r="63" spans="2:33" ht="3.95" customHeight="1" thickBot="1" x14ac:dyDescent="0.3">
      <c r="B63" s="159"/>
      <c r="C63" s="145"/>
      <c r="D63" s="145"/>
      <c r="E63" s="145"/>
      <c r="F63" s="145"/>
      <c r="G63" s="145"/>
      <c r="H63" s="160"/>
      <c r="I63" s="160"/>
      <c r="J63" s="160"/>
      <c r="K63" s="160"/>
      <c r="L63" s="160"/>
      <c r="M63" s="160"/>
      <c r="N63" s="160"/>
      <c r="O63" s="160"/>
      <c r="P63" s="161"/>
      <c r="Q63" s="126"/>
      <c r="R63" s="95"/>
      <c r="S63" s="96"/>
      <c r="T63" s="96"/>
      <c r="U63" s="96"/>
      <c r="V63" s="96"/>
      <c r="W63" s="96"/>
      <c r="X63" s="96"/>
      <c r="Y63" s="96"/>
      <c r="Z63" s="96"/>
      <c r="AA63" s="96"/>
      <c r="AB63" s="96"/>
      <c r="AC63" s="96"/>
      <c r="AD63" s="96"/>
      <c r="AE63" s="96"/>
      <c r="AF63" s="97"/>
      <c r="AG63" s="79"/>
    </row>
    <row r="65" spans="2:34" ht="21" x14ac:dyDescent="0.25">
      <c r="C65" s="6"/>
      <c r="D65" s="6"/>
      <c r="E65" s="198" t="s">
        <v>70</v>
      </c>
      <c r="F65" s="6"/>
      <c r="G65" s="6"/>
      <c r="H65" s="31"/>
      <c r="I65" s="106"/>
      <c r="J65" s="106"/>
      <c r="K65" s="106"/>
      <c r="L65" s="106"/>
      <c r="M65" s="106"/>
      <c r="U65" s="1"/>
      <c r="V65" s="1"/>
      <c r="W65" s="1"/>
      <c r="X65" s="1"/>
      <c r="Y65" s="1"/>
      <c r="Z65" s="1"/>
      <c r="AA65" s="1"/>
      <c r="AB65" s="1"/>
      <c r="AC65" s="1"/>
      <c r="AD65" s="1"/>
      <c r="AE65" s="1"/>
      <c r="AF65" s="1"/>
      <c r="AG65" s="1"/>
      <c r="AH65" s="1"/>
    </row>
    <row r="66" spans="2:34" ht="18.75" x14ac:dyDescent="0.25">
      <c r="C66" s="6"/>
      <c r="D66" s="6"/>
      <c r="E66" s="200" t="s">
        <v>6</v>
      </c>
      <c r="F66" s="6"/>
      <c r="G66" s="6"/>
      <c r="H66" s="105"/>
      <c r="I66" s="105"/>
      <c r="J66" s="105"/>
      <c r="K66" s="105"/>
      <c r="L66" s="105"/>
      <c r="M66" s="105"/>
      <c r="U66" s="1"/>
      <c r="V66" s="1"/>
      <c r="W66" s="1"/>
      <c r="X66" s="1"/>
      <c r="Y66" s="1"/>
      <c r="Z66" s="1"/>
      <c r="AA66" s="1"/>
      <c r="AB66" s="1"/>
      <c r="AC66" s="1"/>
      <c r="AD66" s="1"/>
      <c r="AE66" s="1"/>
      <c r="AF66" s="1"/>
      <c r="AG66" s="1"/>
      <c r="AH66" s="1"/>
    </row>
    <row r="67" spans="2:34" ht="20.25" customHeight="1" x14ac:dyDescent="0.25">
      <c r="C67" s="6"/>
      <c r="D67" s="6"/>
      <c r="F67" s="6"/>
      <c r="G67" s="6"/>
      <c r="H67" s="32"/>
      <c r="I67" s="59"/>
      <c r="J67" s="59"/>
      <c r="K67" s="59"/>
      <c r="L67" s="59"/>
      <c r="M67" s="59"/>
      <c r="U67" s="1"/>
      <c r="V67" s="1"/>
      <c r="W67" s="1"/>
      <c r="X67" s="1"/>
      <c r="Y67" s="1"/>
      <c r="Z67" s="1"/>
      <c r="AA67" s="1"/>
      <c r="AB67" s="1"/>
      <c r="AC67" s="1"/>
      <c r="AD67" s="1"/>
      <c r="AE67" s="1"/>
      <c r="AF67" s="1"/>
      <c r="AG67" s="1"/>
      <c r="AH67" s="1"/>
    </row>
    <row r="68" spans="2:34" s="110" customFormat="1" ht="15.75" customHeight="1" x14ac:dyDescent="0.2">
      <c r="C68" s="111"/>
      <c r="E68" s="201" t="s">
        <v>7</v>
      </c>
      <c r="F68" s="199"/>
      <c r="G68" s="202" t="s">
        <v>8</v>
      </c>
      <c r="H68" s="199"/>
      <c r="J68" s="202"/>
      <c r="K68" s="202"/>
      <c r="L68" s="112"/>
      <c r="M68" s="113"/>
      <c r="AD68" s="104" t="s">
        <v>50</v>
      </c>
    </row>
    <row r="69" spans="2:34" s="110" customFormat="1" ht="18.75" x14ac:dyDescent="0.25">
      <c r="C69" s="111"/>
      <c r="E69" s="203" t="s">
        <v>17</v>
      </c>
      <c r="F69" s="199"/>
      <c r="G69" s="111"/>
      <c r="H69" s="114"/>
      <c r="Z69" s="106" t="s">
        <v>16</v>
      </c>
    </row>
    <row r="70" spans="2:34" x14ac:dyDescent="0.25">
      <c r="C70" s="6"/>
      <c r="D70" s="6"/>
      <c r="E70" s="102"/>
      <c r="F70" s="102"/>
      <c r="G70" s="102"/>
      <c r="H70" s="102"/>
      <c r="I70" s="117"/>
      <c r="J70" s="118"/>
      <c r="K70" s="118"/>
      <c r="L70" s="118"/>
      <c r="M70" s="118"/>
      <c r="N70" s="118"/>
      <c r="U70" s="118"/>
      <c r="V70" s="118"/>
      <c r="W70" s="118"/>
      <c r="X70" s="118"/>
      <c r="Y70" s="118"/>
      <c r="Z70" s="118"/>
      <c r="AA70" s="79"/>
    </row>
    <row r="71" spans="2:34" x14ac:dyDescent="0.25">
      <c r="B71" s="100"/>
      <c r="C71" s="100"/>
      <c r="D71" s="100"/>
      <c r="E71" s="100"/>
      <c r="F71" s="100"/>
      <c r="G71" s="100"/>
      <c r="H71" s="100"/>
      <c r="I71" s="100"/>
      <c r="J71" s="107"/>
      <c r="K71" s="108"/>
      <c r="L71" s="108"/>
      <c r="M71" s="108"/>
      <c r="N71" s="108"/>
      <c r="O71" s="119"/>
      <c r="P71" s="118"/>
      <c r="Q71" s="118"/>
      <c r="R71" s="118"/>
      <c r="S71" s="118"/>
      <c r="T71" s="118"/>
      <c r="U71" s="118"/>
      <c r="V71" s="118"/>
      <c r="W71" s="118"/>
      <c r="X71" s="118"/>
      <c r="Y71" s="118"/>
      <c r="Z71" s="118"/>
      <c r="AA71" s="79"/>
    </row>
    <row r="72" spans="2:34" x14ac:dyDescent="0.25">
      <c r="B72" s="100"/>
      <c r="C72" s="100"/>
      <c r="D72" s="100"/>
      <c r="E72" s="100"/>
      <c r="F72" s="100"/>
      <c r="G72" s="100"/>
      <c r="H72" s="100"/>
      <c r="I72" s="100"/>
      <c r="J72" s="101"/>
      <c r="K72" s="3"/>
      <c r="L72" s="3"/>
      <c r="M72" s="3"/>
      <c r="N72" s="3"/>
      <c r="O72" s="3"/>
      <c r="P72" s="3"/>
    </row>
    <row r="73" spans="2:34" x14ac:dyDescent="0.25">
      <c r="B73" s="100"/>
      <c r="C73" s="100"/>
      <c r="D73" s="100"/>
      <c r="E73" s="100"/>
      <c r="F73" s="100"/>
      <c r="G73" s="100"/>
      <c r="H73" s="100"/>
      <c r="I73" s="100"/>
      <c r="J73" s="101"/>
      <c r="K73" s="3"/>
      <c r="L73" s="3"/>
      <c r="M73" s="3"/>
      <c r="N73" s="3"/>
      <c r="O73" s="3"/>
      <c r="P73" s="3"/>
    </row>
    <row r="74" spans="2:34" x14ac:dyDescent="0.25">
      <c r="B74" s="100"/>
      <c r="C74" s="100"/>
      <c r="D74" s="100"/>
      <c r="E74" s="100"/>
      <c r="F74" s="100"/>
      <c r="G74" s="100"/>
      <c r="H74" s="100"/>
      <c r="I74" s="100"/>
      <c r="J74" s="101"/>
      <c r="K74" s="3"/>
      <c r="L74" s="3"/>
      <c r="M74" s="3"/>
      <c r="N74" s="3"/>
      <c r="O74" s="3"/>
      <c r="P74" s="3"/>
    </row>
    <row r="75" spans="2:34" x14ac:dyDescent="0.25">
      <c r="B75" s="100"/>
      <c r="C75" s="100"/>
      <c r="D75" s="100"/>
      <c r="E75" s="100"/>
      <c r="F75" s="100"/>
      <c r="G75" s="100"/>
      <c r="H75" s="100"/>
      <c r="I75" s="100"/>
      <c r="J75" s="101"/>
      <c r="K75" s="3"/>
      <c r="L75" s="3"/>
      <c r="M75" s="3"/>
      <c r="N75" s="3"/>
      <c r="O75" s="3"/>
      <c r="P75" s="3"/>
    </row>
    <row r="76" spans="2:34" x14ac:dyDescent="0.25">
      <c r="B76" s="100"/>
      <c r="C76" s="100"/>
      <c r="D76" s="100"/>
      <c r="E76" s="100"/>
      <c r="F76" s="100"/>
      <c r="G76" s="100"/>
      <c r="H76" s="100"/>
      <c r="I76" s="100"/>
      <c r="J76" s="101"/>
      <c r="K76" s="3"/>
      <c r="L76" s="3"/>
      <c r="M76" s="3"/>
      <c r="N76" s="3"/>
      <c r="O76" s="3"/>
      <c r="P76" s="3"/>
    </row>
    <row r="77" spans="2:34" x14ac:dyDescent="0.25">
      <c r="B77" s="100"/>
      <c r="C77" s="100"/>
      <c r="D77" s="100"/>
      <c r="E77" s="100"/>
      <c r="F77" s="100"/>
      <c r="G77" s="100"/>
      <c r="H77" s="100"/>
      <c r="I77" s="100"/>
      <c r="J77" s="101"/>
      <c r="K77" s="3"/>
      <c r="L77" s="3"/>
      <c r="M77" s="3"/>
      <c r="N77" s="3"/>
      <c r="O77" s="3"/>
      <c r="P77" s="3"/>
    </row>
    <row r="78" spans="2:34" x14ac:dyDescent="0.25">
      <c r="B78" s="100"/>
      <c r="C78" s="100"/>
      <c r="D78" s="100"/>
      <c r="E78" s="100"/>
      <c r="F78" s="100"/>
      <c r="G78" s="100"/>
      <c r="H78" s="100"/>
      <c r="I78" s="100"/>
      <c r="J78" s="101"/>
      <c r="K78" s="3"/>
      <c r="L78" s="3"/>
      <c r="M78" s="3"/>
      <c r="N78" s="3"/>
      <c r="O78" s="3"/>
      <c r="P78" s="3"/>
    </row>
    <row r="79" spans="2:34" x14ac:dyDescent="0.25">
      <c r="B79" s="100"/>
      <c r="C79" s="100"/>
      <c r="D79" s="100"/>
      <c r="E79" s="100"/>
      <c r="F79" s="100"/>
      <c r="G79" s="100"/>
      <c r="H79" s="100"/>
      <c r="I79" s="100"/>
      <c r="J79" s="101"/>
      <c r="K79" s="3"/>
      <c r="L79" s="3"/>
      <c r="M79" s="3"/>
      <c r="N79" s="3"/>
      <c r="O79" s="3"/>
      <c r="P79" s="3"/>
    </row>
    <row r="80" spans="2:34" x14ac:dyDescent="0.25">
      <c r="B80" s="100"/>
      <c r="C80" s="100"/>
      <c r="D80" s="100"/>
      <c r="E80" s="100"/>
      <c r="F80" s="100"/>
      <c r="G80" s="100"/>
      <c r="H80" s="100"/>
      <c r="I80" s="100"/>
      <c r="J80" s="101"/>
      <c r="K80" s="3"/>
      <c r="L80" s="3"/>
      <c r="M80" s="3"/>
      <c r="N80" s="3"/>
      <c r="O80" s="3"/>
      <c r="P80" s="3"/>
    </row>
    <row r="81" spans="2:16" x14ac:dyDescent="0.25">
      <c r="B81" s="100"/>
      <c r="C81" s="100"/>
      <c r="D81" s="100"/>
      <c r="E81" s="100"/>
      <c r="F81" s="100"/>
      <c r="G81" s="100"/>
      <c r="H81" s="100"/>
      <c r="I81" s="100"/>
      <c r="J81" s="101"/>
      <c r="K81" s="3"/>
      <c r="L81" s="3"/>
      <c r="M81" s="3"/>
      <c r="N81" s="3"/>
      <c r="O81" s="3"/>
      <c r="P81" s="3"/>
    </row>
    <row r="82" spans="2:16" x14ac:dyDescent="0.25">
      <c r="B82" s="100"/>
      <c r="C82" s="100"/>
      <c r="D82" s="100"/>
      <c r="E82" s="100"/>
      <c r="F82" s="100"/>
      <c r="G82" s="100"/>
      <c r="H82" s="100"/>
      <c r="I82" s="100"/>
      <c r="J82" s="101"/>
      <c r="K82" s="3"/>
      <c r="L82" s="3"/>
      <c r="M82" s="3"/>
      <c r="N82" s="3"/>
      <c r="O82" s="3"/>
      <c r="P82" s="3"/>
    </row>
    <row r="83" spans="2:16" x14ac:dyDescent="0.25">
      <c r="B83" s="100"/>
      <c r="C83" s="100"/>
      <c r="D83" s="100"/>
      <c r="E83" s="100"/>
      <c r="F83" s="100"/>
      <c r="G83" s="100"/>
      <c r="H83" s="100"/>
      <c r="I83" s="100"/>
      <c r="J83" s="6"/>
      <c r="K83" s="3"/>
      <c r="L83" s="3"/>
      <c r="M83" s="3"/>
      <c r="N83" s="3"/>
      <c r="O83" s="3"/>
      <c r="P83" s="3"/>
    </row>
    <row r="84" spans="2:16" x14ac:dyDescent="0.25">
      <c r="B84" s="100"/>
      <c r="C84" s="100"/>
      <c r="D84" s="100"/>
      <c r="E84" s="100"/>
      <c r="F84" s="100"/>
      <c r="G84" s="100"/>
      <c r="H84" s="100"/>
      <c r="I84" s="100"/>
      <c r="J84" s="103"/>
      <c r="K84" s="3"/>
      <c r="L84" s="3"/>
      <c r="M84" s="3"/>
      <c r="N84" s="3"/>
      <c r="O84" s="3"/>
      <c r="P84" s="3"/>
    </row>
    <row r="85" spans="2:16" x14ac:dyDescent="0.25">
      <c r="B85" s="100"/>
      <c r="C85" s="100"/>
      <c r="D85" s="100"/>
      <c r="E85" s="100"/>
      <c r="F85" s="100"/>
      <c r="G85" s="100"/>
      <c r="H85" s="100"/>
      <c r="I85" s="100"/>
      <c r="J85" s="103"/>
      <c r="K85" s="3"/>
      <c r="L85" s="3"/>
      <c r="M85" s="3"/>
      <c r="N85" s="3"/>
      <c r="O85" s="3"/>
      <c r="P85" s="3"/>
    </row>
    <row r="86" spans="2:16" x14ac:dyDescent="0.25">
      <c r="B86" s="100"/>
      <c r="C86" s="100"/>
      <c r="D86" s="100"/>
      <c r="E86" s="100"/>
      <c r="F86" s="100"/>
      <c r="G86" s="100"/>
      <c r="H86" s="100"/>
      <c r="I86" s="100"/>
      <c r="J86" s="103"/>
      <c r="K86" s="3"/>
      <c r="L86" s="3"/>
      <c r="M86" s="3"/>
      <c r="N86" s="3"/>
      <c r="O86" s="3"/>
      <c r="P86" s="3"/>
    </row>
    <row r="87" spans="2:16" x14ac:dyDescent="0.25">
      <c r="B87" s="100"/>
      <c r="C87" s="100"/>
      <c r="D87" s="100"/>
      <c r="E87" s="100"/>
      <c r="F87" s="100"/>
      <c r="G87" s="100"/>
      <c r="H87" s="100"/>
      <c r="I87" s="100"/>
      <c r="J87" s="103"/>
      <c r="K87" s="3"/>
      <c r="L87" s="3"/>
      <c r="M87" s="3"/>
      <c r="N87" s="3"/>
      <c r="O87" s="3"/>
      <c r="P87" s="3"/>
    </row>
    <row r="88" spans="2:16" x14ac:dyDescent="0.25">
      <c r="B88" s="100"/>
      <c r="C88" s="100"/>
      <c r="D88" s="100"/>
      <c r="E88" s="100"/>
      <c r="F88" s="100"/>
      <c r="G88" s="100"/>
      <c r="H88" s="100"/>
      <c r="I88" s="100"/>
      <c r="J88" s="6"/>
      <c r="K88" s="3"/>
      <c r="L88" s="3"/>
      <c r="M88" s="3"/>
      <c r="N88" s="3"/>
      <c r="O88" s="3"/>
      <c r="P88" s="3"/>
    </row>
    <row r="89" spans="2:16" x14ac:dyDescent="0.25">
      <c r="B89" s="100"/>
      <c r="C89" s="100"/>
      <c r="D89" s="100"/>
      <c r="E89" s="100"/>
      <c r="F89" s="100"/>
      <c r="G89" s="100"/>
      <c r="H89" s="100"/>
      <c r="I89" s="100"/>
      <c r="J89" s="6"/>
      <c r="K89" s="3"/>
      <c r="L89" s="3"/>
      <c r="M89" s="3"/>
      <c r="N89" s="3"/>
      <c r="O89" s="3"/>
      <c r="P89" s="3"/>
    </row>
    <row r="90" spans="2:16" x14ac:dyDescent="0.25">
      <c r="B90" s="100"/>
      <c r="C90" s="100"/>
      <c r="D90" s="100"/>
      <c r="E90" s="100"/>
      <c r="F90" s="100"/>
      <c r="G90" s="100"/>
      <c r="H90" s="100"/>
      <c r="I90" s="100"/>
      <c r="J90" s="6"/>
      <c r="K90" s="3"/>
      <c r="L90" s="3"/>
      <c r="M90" s="3"/>
      <c r="N90" s="3"/>
      <c r="O90" s="3"/>
      <c r="P90" s="3"/>
    </row>
    <row r="91" spans="2:16" x14ac:dyDescent="0.25">
      <c r="B91" s="100"/>
      <c r="C91" s="100"/>
      <c r="D91" s="100"/>
      <c r="E91" s="100"/>
      <c r="F91" s="100"/>
      <c r="G91" s="100"/>
      <c r="H91" s="100"/>
      <c r="I91" s="100"/>
      <c r="J91" s="6"/>
      <c r="K91" s="3"/>
      <c r="L91" s="3"/>
      <c r="M91" s="3"/>
      <c r="N91" s="3"/>
      <c r="O91" s="3"/>
      <c r="P91" s="3"/>
    </row>
    <row r="92" spans="2:16" x14ac:dyDescent="0.25">
      <c r="C92" s="3"/>
      <c r="D92" s="3"/>
      <c r="E92" s="3"/>
      <c r="F92" s="3"/>
      <c r="G92" s="3"/>
      <c r="H92" s="3"/>
      <c r="I92" s="3"/>
      <c r="J92" s="37"/>
      <c r="K92" s="3"/>
      <c r="L92" s="3"/>
      <c r="M92" s="3"/>
      <c r="N92" s="3"/>
      <c r="O92" s="3"/>
      <c r="P92" s="3"/>
    </row>
    <row r="93" spans="2:16" x14ac:dyDescent="0.25">
      <c r="C93" s="3"/>
      <c r="D93" s="3"/>
      <c r="E93" s="3"/>
      <c r="F93" s="3"/>
      <c r="G93" s="3"/>
      <c r="H93" s="3"/>
      <c r="I93" s="3"/>
      <c r="J93" s="37"/>
      <c r="K93" s="3"/>
      <c r="L93" s="3"/>
      <c r="M93" s="3"/>
      <c r="N93" s="3"/>
      <c r="O93" s="3"/>
      <c r="P93" s="3"/>
    </row>
    <row r="94" spans="2:16" x14ac:dyDescent="0.25">
      <c r="C94" s="3"/>
      <c r="D94" s="3"/>
      <c r="E94" s="3"/>
      <c r="F94" s="3"/>
      <c r="G94" s="3"/>
      <c r="H94" s="3"/>
      <c r="I94" s="3"/>
      <c r="J94" s="37"/>
      <c r="K94" s="3"/>
      <c r="L94" s="3"/>
      <c r="M94" s="3"/>
      <c r="N94" s="3"/>
      <c r="O94" s="3"/>
      <c r="P94" s="3"/>
    </row>
    <row r="95" spans="2:16" x14ac:dyDescent="0.25">
      <c r="C95" s="3"/>
      <c r="D95" s="3"/>
      <c r="E95" s="3"/>
      <c r="F95" s="3"/>
      <c r="G95" s="3"/>
      <c r="H95" s="3"/>
      <c r="I95" s="3"/>
      <c r="J95" s="37"/>
      <c r="K95" s="3"/>
      <c r="L95" s="3"/>
      <c r="M95" s="3"/>
      <c r="N95" s="3"/>
      <c r="O95" s="3"/>
      <c r="P95" s="3"/>
    </row>
    <row r="96" spans="2:16" x14ac:dyDescent="0.25">
      <c r="C96" s="3"/>
      <c r="D96" s="3"/>
      <c r="E96" s="3"/>
      <c r="F96" s="3"/>
      <c r="G96" s="3"/>
      <c r="H96" s="3"/>
      <c r="I96" s="3"/>
      <c r="J96" s="37"/>
      <c r="K96" s="3"/>
      <c r="L96" s="3"/>
      <c r="M96" s="3"/>
      <c r="N96" s="3"/>
      <c r="O96" s="3"/>
      <c r="P96" s="3"/>
    </row>
    <row r="97" spans="3:16" x14ac:dyDescent="0.25">
      <c r="C97" s="3"/>
      <c r="D97" s="3"/>
      <c r="E97" s="3"/>
      <c r="F97" s="3"/>
      <c r="G97" s="3"/>
      <c r="H97" s="3"/>
      <c r="I97" s="3"/>
      <c r="J97" s="37"/>
      <c r="K97" s="3"/>
      <c r="L97" s="3"/>
      <c r="M97" s="3"/>
      <c r="N97" s="3"/>
      <c r="O97" s="3"/>
      <c r="P97" s="3"/>
    </row>
    <row r="98" spans="3:16" x14ac:dyDescent="0.25">
      <c r="C98" s="3"/>
      <c r="D98" s="3"/>
      <c r="E98" s="3"/>
      <c r="F98" s="3"/>
      <c r="G98" s="3"/>
      <c r="H98" s="3"/>
      <c r="I98" s="3"/>
      <c r="J98" s="37"/>
      <c r="K98" s="3"/>
      <c r="L98" s="3"/>
      <c r="M98" s="3"/>
      <c r="N98" s="3"/>
      <c r="O98" s="3"/>
      <c r="P98" s="3"/>
    </row>
    <row r="99" spans="3:16" x14ac:dyDescent="0.25">
      <c r="C99" s="3"/>
      <c r="D99" s="3"/>
      <c r="E99" s="3"/>
      <c r="F99" s="3"/>
      <c r="G99" s="3"/>
      <c r="H99" s="3"/>
      <c r="I99" s="3"/>
      <c r="J99" s="37"/>
      <c r="K99" s="3"/>
      <c r="L99" s="3"/>
      <c r="M99" s="3"/>
      <c r="N99" s="3"/>
      <c r="O99" s="3"/>
      <c r="P99" s="3"/>
    </row>
    <row r="100" spans="3:16" x14ac:dyDescent="0.25">
      <c r="C100" s="3"/>
      <c r="D100" s="3"/>
      <c r="E100" s="3"/>
      <c r="F100" s="3"/>
      <c r="G100" s="3"/>
      <c r="H100" s="3"/>
      <c r="I100" s="3"/>
      <c r="J100" s="37"/>
      <c r="K100" s="3"/>
      <c r="L100" s="3"/>
      <c r="M100" s="3"/>
      <c r="N100" s="3"/>
      <c r="O100" s="3"/>
      <c r="P100" s="3"/>
    </row>
    <row r="101" spans="3:16" x14ac:dyDescent="0.25">
      <c r="C101" s="3"/>
      <c r="D101" s="3"/>
      <c r="E101" s="3"/>
      <c r="F101" s="3"/>
      <c r="G101" s="3"/>
      <c r="H101" s="3"/>
      <c r="I101" s="3"/>
      <c r="J101" s="37"/>
      <c r="K101" s="3"/>
      <c r="L101" s="3"/>
      <c r="M101" s="3"/>
      <c r="N101" s="3"/>
      <c r="O101" s="3"/>
      <c r="P101" s="3"/>
    </row>
    <row r="102" spans="3:16" x14ac:dyDescent="0.25">
      <c r="C102" s="3"/>
      <c r="D102" s="3"/>
      <c r="E102" s="3"/>
      <c r="F102" s="3"/>
      <c r="G102" s="3"/>
      <c r="H102" s="3"/>
      <c r="I102" s="3"/>
      <c r="J102" s="37"/>
      <c r="K102" s="3"/>
      <c r="L102" s="3"/>
      <c r="M102" s="3"/>
      <c r="N102" s="3"/>
      <c r="O102" s="3"/>
      <c r="P102" s="3"/>
    </row>
    <row r="103" spans="3:16" x14ac:dyDescent="0.25">
      <c r="C103" s="3"/>
      <c r="D103" s="3"/>
      <c r="E103" s="3"/>
      <c r="F103" s="3"/>
      <c r="G103" s="3"/>
      <c r="H103" s="3"/>
      <c r="I103" s="3"/>
      <c r="J103" s="37"/>
      <c r="K103" s="3"/>
      <c r="L103" s="3"/>
      <c r="M103" s="3"/>
      <c r="N103" s="3"/>
      <c r="O103" s="3"/>
      <c r="P103" s="3"/>
    </row>
    <row r="104" spans="3:16" x14ac:dyDescent="0.25">
      <c r="C104" s="3"/>
      <c r="D104" s="3"/>
      <c r="E104" s="3"/>
      <c r="F104" s="3"/>
      <c r="G104" s="3"/>
      <c r="H104" s="3"/>
      <c r="I104" s="3"/>
      <c r="J104" s="37"/>
      <c r="K104" s="3"/>
      <c r="L104" s="3"/>
      <c r="M104" s="3"/>
      <c r="N104" s="3"/>
      <c r="O104" s="3"/>
      <c r="P104" s="3"/>
    </row>
    <row r="105" spans="3:16" x14ac:dyDescent="0.25">
      <c r="C105" s="3"/>
      <c r="D105" s="3"/>
      <c r="E105" s="3"/>
      <c r="F105" s="3"/>
      <c r="G105" s="3"/>
      <c r="H105" s="3"/>
      <c r="I105" s="3"/>
      <c r="J105" s="37"/>
      <c r="K105" s="3"/>
      <c r="L105" s="3"/>
      <c r="M105" s="3"/>
      <c r="N105" s="3"/>
      <c r="O105" s="3"/>
      <c r="P105" s="3"/>
    </row>
    <row r="106" spans="3:16" x14ac:dyDescent="0.25">
      <c r="C106" s="3"/>
      <c r="D106" s="3"/>
      <c r="E106" s="3"/>
      <c r="F106" s="3"/>
      <c r="G106" s="3"/>
      <c r="H106" s="3"/>
      <c r="I106" s="3"/>
      <c r="J106" s="37"/>
      <c r="K106" s="3"/>
      <c r="L106" s="3"/>
      <c r="M106" s="3"/>
      <c r="N106" s="3"/>
      <c r="O106" s="3"/>
      <c r="P106" s="3"/>
    </row>
    <row r="107" spans="3:16" x14ac:dyDescent="0.25">
      <c r="C107" s="3"/>
      <c r="D107" s="3"/>
      <c r="E107" s="3"/>
      <c r="F107" s="3"/>
      <c r="G107" s="3"/>
      <c r="H107" s="3"/>
      <c r="I107" s="3"/>
      <c r="J107" s="37"/>
      <c r="K107" s="3"/>
      <c r="L107" s="3"/>
      <c r="M107" s="3"/>
      <c r="N107" s="3"/>
      <c r="O107" s="3"/>
      <c r="P107" s="3"/>
    </row>
    <row r="108" spans="3:16" x14ac:dyDescent="0.25">
      <c r="C108" s="3"/>
      <c r="D108" s="3"/>
      <c r="E108" s="3"/>
      <c r="F108" s="3"/>
      <c r="G108" s="3"/>
      <c r="H108" s="3"/>
      <c r="I108" s="3"/>
      <c r="J108" s="37"/>
      <c r="K108" s="3"/>
      <c r="L108" s="3"/>
      <c r="M108" s="3"/>
      <c r="N108" s="3"/>
      <c r="O108" s="3"/>
      <c r="P108" s="3"/>
    </row>
    <row r="109" spans="3:16" x14ac:dyDescent="0.25">
      <c r="C109" s="3"/>
      <c r="D109" s="3"/>
      <c r="E109" s="3"/>
      <c r="F109" s="3"/>
      <c r="G109" s="3"/>
      <c r="H109" s="3"/>
      <c r="I109" s="3"/>
      <c r="J109" s="37"/>
      <c r="K109" s="3"/>
      <c r="L109" s="3"/>
      <c r="M109" s="3"/>
      <c r="N109" s="3"/>
      <c r="O109" s="3"/>
      <c r="P109" s="3"/>
    </row>
    <row r="110" spans="3:16" x14ac:dyDescent="0.25">
      <c r="C110" s="3"/>
      <c r="D110" s="3"/>
      <c r="E110" s="3"/>
      <c r="F110" s="3"/>
      <c r="G110" s="3"/>
      <c r="H110" s="3"/>
      <c r="I110" s="3"/>
      <c r="J110" s="37"/>
      <c r="K110" s="3"/>
      <c r="L110" s="3"/>
      <c r="M110" s="3"/>
      <c r="N110" s="3"/>
      <c r="O110" s="3"/>
      <c r="P110" s="3"/>
    </row>
    <row r="111" spans="3:16" x14ac:dyDescent="0.25">
      <c r="C111" s="3"/>
      <c r="D111" s="3"/>
      <c r="E111" s="3"/>
      <c r="F111" s="3"/>
      <c r="G111" s="3"/>
      <c r="H111" s="3"/>
      <c r="I111" s="3"/>
      <c r="J111" s="37"/>
      <c r="K111" s="3"/>
      <c r="L111" s="3"/>
      <c r="M111" s="3"/>
      <c r="N111" s="3"/>
      <c r="O111" s="3"/>
      <c r="P111" s="3"/>
    </row>
    <row r="112" spans="3:16" x14ac:dyDescent="0.25">
      <c r="C112" s="3"/>
      <c r="D112" s="3"/>
      <c r="E112" s="3"/>
      <c r="F112" s="3"/>
      <c r="G112" s="3"/>
      <c r="H112" s="3"/>
      <c r="I112" s="3"/>
      <c r="J112" s="37"/>
      <c r="K112" s="3"/>
      <c r="L112" s="3"/>
      <c r="M112" s="3"/>
      <c r="N112" s="3"/>
      <c r="O112" s="3"/>
      <c r="P112" s="3"/>
    </row>
    <row r="113" spans="3:16" x14ac:dyDescent="0.25">
      <c r="C113" s="3"/>
      <c r="D113" s="3"/>
      <c r="E113" s="3"/>
      <c r="F113" s="3"/>
      <c r="G113" s="3"/>
      <c r="H113" s="3"/>
      <c r="I113" s="3"/>
      <c r="J113" s="37"/>
      <c r="K113" s="3"/>
      <c r="L113" s="3"/>
      <c r="M113" s="3"/>
      <c r="N113" s="3"/>
      <c r="O113" s="3"/>
      <c r="P113" s="3"/>
    </row>
    <row r="114" spans="3:16" x14ac:dyDescent="0.25">
      <c r="C114" s="3"/>
      <c r="D114" s="3"/>
      <c r="E114" s="3"/>
      <c r="F114" s="3"/>
      <c r="G114" s="3"/>
      <c r="H114" s="3"/>
      <c r="I114" s="3"/>
      <c r="J114" s="37"/>
      <c r="K114" s="3"/>
      <c r="L114" s="3"/>
      <c r="M114" s="3"/>
      <c r="N114" s="3"/>
      <c r="O114" s="3"/>
      <c r="P114" s="3"/>
    </row>
    <row r="115" spans="3:16" x14ac:dyDescent="0.25">
      <c r="C115" s="3"/>
      <c r="D115" s="3"/>
      <c r="E115" s="3"/>
      <c r="F115" s="3"/>
      <c r="G115" s="3"/>
      <c r="H115" s="3"/>
      <c r="I115" s="3"/>
      <c r="J115" s="37"/>
      <c r="K115" s="3"/>
      <c r="L115" s="3"/>
      <c r="M115" s="3"/>
      <c r="N115" s="3"/>
      <c r="O115" s="3"/>
      <c r="P115" s="3"/>
    </row>
    <row r="116" spans="3:16" x14ac:dyDescent="0.25">
      <c r="C116" s="3"/>
      <c r="D116" s="3"/>
      <c r="E116" s="3"/>
      <c r="F116" s="3"/>
      <c r="G116" s="3"/>
      <c r="H116" s="3"/>
      <c r="I116" s="3"/>
      <c r="J116" s="37"/>
      <c r="K116" s="3"/>
      <c r="L116" s="3"/>
      <c r="M116" s="3"/>
      <c r="N116" s="3"/>
      <c r="O116" s="3"/>
      <c r="P116" s="3"/>
    </row>
    <row r="117" spans="3:16" x14ac:dyDescent="0.25">
      <c r="C117" s="3"/>
      <c r="D117" s="3"/>
      <c r="E117" s="3"/>
      <c r="F117" s="3"/>
      <c r="G117" s="3"/>
      <c r="H117" s="3"/>
      <c r="I117" s="3"/>
      <c r="J117" s="37"/>
      <c r="K117" s="3"/>
      <c r="L117" s="3"/>
      <c r="M117" s="3"/>
      <c r="N117" s="3"/>
      <c r="O117" s="3"/>
      <c r="P117" s="3"/>
    </row>
    <row r="118" spans="3:16" x14ac:dyDescent="0.25">
      <c r="C118" s="3"/>
      <c r="D118" s="3"/>
      <c r="E118" s="3"/>
      <c r="F118" s="3"/>
      <c r="G118" s="3"/>
      <c r="H118" s="3"/>
      <c r="I118" s="3"/>
      <c r="J118" s="37"/>
      <c r="K118" s="3"/>
      <c r="L118" s="3"/>
      <c r="M118" s="3"/>
      <c r="N118" s="3"/>
      <c r="O118" s="3"/>
      <c r="P118" s="3"/>
    </row>
    <row r="119" spans="3:16" x14ac:dyDescent="0.25">
      <c r="C119" s="3"/>
      <c r="D119" s="3"/>
      <c r="E119" s="3"/>
      <c r="F119" s="3"/>
      <c r="G119" s="3"/>
      <c r="H119" s="3"/>
      <c r="I119" s="3"/>
      <c r="J119" s="37"/>
      <c r="K119" s="3"/>
      <c r="L119" s="3"/>
      <c r="M119" s="3"/>
      <c r="N119" s="3"/>
      <c r="O119" s="3"/>
      <c r="P119" s="3"/>
    </row>
    <row r="120" spans="3:16" x14ac:dyDescent="0.25">
      <c r="C120" s="3"/>
      <c r="D120" s="3"/>
      <c r="E120" s="3"/>
      <c r="F120" s="3"/>
      <c r="G120" s="3"/>
      <c r="H120" s="3"/>
      <c r="I120" s="3"/>
      <c r="J120" s="37"/>
      <c r="K120" s="3"/>
      <c r="L120" s="3"/>
      <c r="M120" s="3"/>
      <c r="N120" s="3"/>
      <c r="O120" s="3"/>
      <c r="P120" s="3"/>
    </row>
    <row r="121" spans="3:16" x14ac:dyDescent="0.25">
      <c r="C121" s="3"/>
      <c r="D121" s="3"/>
      <c r="E121" s="3"/>
      <c r="F121" s="3"/>
      <c r="G121" s="3"/>
      <c r="H121" s="3"/>
      <c r="I121" s="3"/>
      <c r="J121" s="37"/>
      <c r="K121" s="3"/>
      <c r="L121" s="3"/>
      <c r="M121" s="3"/>
      <c r="N121" s="3"/>
      <c r="O121" s="3"/>
      <c r="P121" s="3"/>
    </row>
    <row r="122" spans="3:16" x14ac:dyDescent="0.25">
      <c r="C122" s="3"/>
      <c r="D122" s="3"/>
      <c r="E122" s="3"/>
      <c r="F122" s="3"/>
      <c r="G122" s="3"/>
      <c r="H122" s="3"/>
      <c r="I122" s="3"/>
      <c r="J122" s="37"/>
      <c r="K122" s="3"/>
      <c r="L122" s="3"/>
      <c r="M122" s="3"/>
      <c r="N122" s="3"/>
      <c r="O122" s="3"/>
      <c r="P122" s="3"/>
    </row>
    <row r="123" spans="3:16" x14ac:dyDescent="0.25">
      <c r="C123" s="3"/>
      <c r="D123" s="3"/>
      <c r="E123" s="3"/>
      <c r="F123" s="3"/>
      <c r="G123" s="3"/>
      <c r="H123" s="3"/>
      <c r="I123" s="3"/>
      <c r="J123" s="37"/>
      <c r="K123" s="3"/>
      <c r="L123" s="3"/>
      <c r="M123" s="3"/>
      <c r="N123" s="3"/>
      <c r="O123" s="3"/>
      <c r="P123" s="3"/>
    </row>
    <row r="124" spans="3:16" x14ac:dyDescent="0.25">
      <c r="C124" s="3"/>
      <c r="D124" s="3"/>
      <c r="E124" s="3"/>
      <c r="F124" s="3"/>
      <c r="G124" s="3"/>
      <c r="H124" s="3"/>
      <c r="I124" s="3"/>
      <c r="J124" s="37"/>
      <c r="K124" s="3"/>
      <c r="L124" s="3"/>
      <c r="M124" s="3"/>
      <c r="N124" s="3"/>
      <c r="O124" s="3"/>
      <c r="P124" s="3"/>
    </row>
    <row r="125" spans="3:16" x14ac:dyDescent="0.25">
      <c r="C125" s="3"/>
      <c r="D125" s="3"/>
      <c r="E125" s="3"/>
      <c r="F125" s="3"/>
      <c r="G125" s="3"/>
      <c r="H125" s="3"/>
      <c r="I125" s="3"/>
      <c r="J125" s="37"/>
      <c r="K125" s="3"/>
      <c r="L125" s="3"/>
      <c r="M125" s="3"/>
      <c r="N125" s="3"/>
      <c r="O125" s="3"/>
      <c r="P125" s="3"/>
    </row>
    <row r="126" spans="3:16" x14ac:dyDescent="0.25">
      <c r="C126" s="3"/>
      <c r="D126" s="3"/>
      <c r="E126" s="3"/>
      <c r="F126" s="3"/>
      <c r="G126" s="3"/>
      <c r="H126" s="3"/>
      <c r="I126" s="3"/>
      <c r="J126" s="37"/>
      <c r="K126" s="3"/>
      <c r="L126" s="3"/>
      <c r="M126" s="3"/>
      <c r="N126" s="3"/>
      <c r="O126" s="3"/>
      <c r="P126" s="3"/>
    </row>
    <row r="127" spans="3:16" x14ac:dyDescent="0.25">
      <c r="C127" s="3"/>
      <c r="D127" s="3"/>
      <c r="E127" s="3"/>
      <c r="F127" s="3"/>
      <c r="G127" s="3"/>
      <c r="H127" s="3"/>
      <c r="I127" s="3"/>
      <c r="J127" s="37"/>
      <c r="K127" s="3"/>
      <c r="L127" s="3"/>
      <c r="M127" s="3"/>
      <c r="N127" s="3"/>
      <c r="O127" s="3"/>
      <c r="P127" s="3"/>
    </row>
    <row r="128" spans="3:16" x14ac:dyDescent="0.25">
      <c r="C128" s="3"/>
      <c r="D128" s="3"/>
      <c r="E128" s="3"/>
      <c r="F128" s="3"/>
      <c r="G128" s="3"/>
      <c r="H128" s="3"/>
      <c r="I128" s="3"/>
      <c r="J128" s="37"/>
      <c r="K128" s="3"/>
      <c r="L128" s="3"/>
      <c r="M128" s="3"/>
      <c r="N128" s="3"/>
      <c r="O128" s="3"/>
      <c r="P128" s="3"/>
    </row>
    <row r="129" spans="3:16" x14ac:dyDescent="0.25">
      <c r="C129" s="3"/>
      <c r="D129" s="3"/>
      <c r="E129" s="3"/>
      <c r="F129" s="3"/>
      <c r="G129" s="3"/>
      <c r="H129" s="3"/>
      <c r="I129" s="3"/>
      <c r="J129" s="37"/>
      <c r="K129" s="3"/>
      <c r="L129" s="3"/>
      <c r="M129" s="3"/>
      <c r="N129" s="3"/>
      <c r="O129" s="3"/>
      <c r="P129" s="3"/>
    </row>
    <row r="130" spans="3:16" x14ac:dyDescent="0.25">
      <c r="C130" s="3"/>
      <c r="D130" s="3"/>
      <c r="E130" s="3"/>
      <c r="F130" s="3"/>
      <c r="G130" s="3"/>
      <c r="H130" s="3"/>
      <c r="I130" s="3"/>
      <c r="J130" s="37"/>
      <c r="K130" s="3"/>
      <c r="L130" s="3"/>
      <c r="M130" s="3"/>
      <c r="N130" s="3"/>
      <c r="O130" s="3"/>
      <c r="P130" s="3"/>
    </row>
    <row r="131" spans="3:16" x14ac:dyDescent="0.25">
      <c r="C131" s="3"/>
      <c r="D131" s="3"/>
      <c r="E131" s="3"/>
      <c r="F131" s="3"/>
      <c r="G131" s="3"/>
      <c r="H131" s="3"/>
      <c r="I131" s="3"/>
      <c r="J131" s="37"/>
      <c r="K131" s="3"/>
      <c r="L131" s="3"/>
      <c r="M131" s="3"/>
      <c r="N131" s="3"/>
      <c r="O131" s="3"/>
      <c r="P131" s="3"/>
    </row>
    <row r="132" spans="3:16" x14ac:dyDescent="0.25">
      <c r="C132" s="3"/>
      <c r="D132" s="3"/>
      <c r="E132" s="3"/>
      <c r="F132" s="3"/>
      <c r="G132" s="3"/>
      <c r="H132" s="3"/>
      <c r="I132" s="3"/>
      <c r="J132" s="37"/>
      <c r="K132" s="3"/>
      <c r="L132" s="3"/>
      <c r="M132" s="3"/>
      <c r="N132" s="3"/>
      <c r="O132" s="3"/>
      <c r="P132" s="3"/>
    </row>
    <row r="133" spans="3:16" x14ac:dyDescent="0.25">
      <c r="C133" s="3"/>
      <c r="D133" s="3"/>
      <c r="E133" s="3"/>
      <c r="F133" s="3"/>
      <c r="G133" s="3"/>
      <c r="H133" s="3"/>
      <c r="I133" s="3"/>
      <c r="J133" s="37"/>
      <c r="K133" s="3"/>
      <c r="L133" s="3"/>
      <c r="M133" s="3"/>
      <c r="N133" s="3"/>
      <c r="O133" s="3"/>
      <c r="P133" s="3"/>
    </row>
    <row r="134" spans="3:16" x14ac:dyDescent="0.25">
      <c r="C134" s="3"/>
      <c r="D134" s="3"/>
      <c r="E134" s="3"/>
      <c r="F134" s="3"/>
      <c r="G134" s="3"/>
      <c r="H134" s="3"/>
      <c r="I134" s="3"/>
      <c r="J134" s="37"/>
      <c r="K134" s="3"/>
      <c r="L134" s="3"/>
      <c r="M134" s="3"/>
      <c r="N134" s="3"/>
      <c r="O134" s="3"/>
      <c r="P134" s="3"/>
    </row>
  </sheetData>
  <sheetProtection algorithmName="SHA-512" hashValue="de6g+rxc78eXn0HgHLpLM21CG/GYHuit9c6m6AdZR9Mqo9JTC82X1ImYjchHB6q6bAqH1i8IWbeOaxZn4hr2yg==" saltValue="nzL3fvsElYyJLRUAuprV+g==" spinCount="100000" sheet="1" selectLockedCells="1"/>
  <mergeCells count="124">
    <mergeCell ref="K47:M50"/>
    <mergeCell ref="K51:M52"/>
    <mergeCell ref="M17:O17"/>
    <mergeCell ref="I59:J62"/>
    <mergeCell ref="I56:J58"/>
    <mergeCell ref="I53:J55"/>
    <mergeCell ref="K59:M62"/>
    <mergeCell ref="AA58:AC58"/>
    <mergeCell ref="AD58:AE58"/>
    <mergeCell ref="W26:X26"/>
    <mergeCell ref="S26:V26"/>
    <mergeCell ref="W17:X17"/>
    <mergeCell ref="S17:V17"/>
    <mergeCell ref="Y34:AA34"/>
    <mergeCell ref="W34:X34"/>
    <mergeCell ref="S34:V34"/>
    <mergeCell ref="Y26:AB26"/>
    <mergeCell ref="X24:AB24"/>
    <mergeCell ref="Y17:AB17"/>
    <mergeCell ref="AD46:AE46"/>
    <mergeCell ref="Z56:AC56"/>
    <mergeCell ref="X46:AB46"/>
    <mergeCell ref="N45:O46"/>
    <mergeCell ref="N47:O50"/>
    <mergeCell ref="N59:O62"/>
    <mergeCell ref="N56:O58"/>
    <mergeCell ref="K56:M58"/>
    <mergeCell ref="K53:M55"/>
    <mergeCell ref="N53:O55"/>
    <mergeCell ref="F9:G9"/>
    <mergeCell ref="C9:E9"/>
    <mergeCell ref="G19:I19"/>
    <mergeCell ref="C19:F19"/>
    <mergeCell ref="O8:O11"/>
    <mergeCell ref="M10:M11"/>
    <mergeCell ref="E11:G11"/>
    <mergeCell ref="C59:D62"/>
    <mergeCell ref="E59:H62"/>
    <mergeCell ref="C56:D58"/>
    <mergeCell ref="E56:H58"/>
    <mergeCell ref="E45:H55"/>
    <mergeCell ref="C45:D55"/>
    <mergeCell ref="I43:J44"/>
    <mergeCell ref="K43:M44"/>
    <mergeCell ref="I45:J52"/>
    <mergeCell ref="K45:M46"/>
    <mergeCell ref="AD40:AE40"/>
    <mergeCell ref="AD42:AE42"/>
    <mergeCell ref="AD44:AE44"/>
    <mergeCell ref="S30:AE30"/>
    <mergeCell ref="X32:AA32"/>
    <mergeCell ref="X40:AB40"/>
    <mergeCell ref="S24:U24"/>
    <mergeCell ref="S38:AE38"/>
    <mergeCell ref="S15:U15"/>
    <mergeCell ref="S32:U32"/>
    <mergeCell ref="X15:AB15"/>
    <mergeCell ref="X42:AB42"/>
    <mergeCell ref="S40:U40"/>
    <mergeCell ref="S42:U42"/>
    <mergeCell ref="S44:U44"/>
    <mergeCell ref="C15:O15"/>
    <mergeCell ref="H29:J30"/>
    <mergeCell ref="K29:K30"/>
    <mergeCell ref="C8:D8"/>
    <mergeCell ref="F8:G8"/>
    <mergeCell ref="H32:J32"/>
    <mergeCell ref="M32:O32"/>
    <mergeCell ref="K8:K9"/>
    <mergeCell ref="X44:AB44"/>
    <mergeCell ref="N19:O19"/>
    <mergeCell ref="C33:G38"/>
    <mergeCell ref="C39:O42"/>
    <mergeCell ref="C43:D44"/>
    <mergeCell ref="E43:H44"/>
    <mergeCell ref="N43:O44"/>
    <mergeCell ref="AD56:AE56"/>
    <mergeCell ref="Y60:AD60"/>
    <mergeCell ref="AD34:AE34"/>
    <mergeCell ref="AD26:AE26"/>
    <mergeCell ref="AD17:AE17"/>
    <mergeCell ref="C5:O5"/>
    <mergeCell ref="C11:D11"/>
    <mergeCell ref="H11:I11"/>
    <mergeCell ref="J11:K11"/>
    <mergeCell ref="C25:E26"/>
    <mergeCell ref="C7:D7"/>
    <mergeCell ref="F7:G7"/>
    <mergeCell ref="M34:O34"/>
    <mergeCell ref="C22:O22"/>
    <mergeCell ref="C31:D31"/>
    <mergeCell ref="H34:J34"/>
    <mergeCell ref="C24:E24"/>
    <mergeCell ref="C30:E30"/>
    <mergeCell ref="H26:J27"/>
    <mergeCell ref="K26:K27"/>
    <mergeCell ref="R8:AF9"/>
    <mergeCell ref="C17:D17"/>
    <mergeCell ref="E17:F17"/>
    <mergeCell ref="G17:H17"/>
    <mergeCell ref="K19:M19"/>
    <mergeCell ref="C2:AE2"/>
    <mergeCell ref="F31:F32"/>
    <mergeCell ref="H24:N25"/>
    <mergeCell ref="Z62:AA62"/>
    <mergeCell ref="V62:Y62"/>
    <mergeCell ref="S58:V58"/>
    <mergeCell ref="W58:X58"/>
    <mergeCell ref="S60:V60"/>
    <mergeCell ref="W60:X60"/>
    <mergeCell ref="S54:V54"/>
    <mergeCell ref="W54:X54"/>
    <mergeCell ref="S56:V56"/>
    <mergeCell ref="W56:X56"/>
    <mergeCell ref="S5:T5"/>
    <mergeCell ref="S46:T46"/>
    <mergeCell ref="S52:AE52"/>
    <mergeCell ref="M26:O27"/>
    <mergeCell ref="M29:O30"/>
    <mergeCell ref="N51:O52"/>
    <mergeCell ref="S11:AE13"/>
    <mergeCell ref="S22:AE23"/>
    <mergeCell ref="AD54:AE54"/>
    <mergeCell ref="Z54:AC54"/>
  </mergeCells>
  <dataValidations count="3">
    <dataValidation allowBlank="1" showErrorMessage="1" error="Please select an option from the dropdown menu." sqref="F31 F26" xr:uid="{3BC2B083-7CB5-4F5C-ACE1-7FE6FF45D17D}"/>
    <dataValidation type="whole" allowBlank="1" showErrorMessage="1" error="Seller cashback cannot exceed Total Allowable IPC's" sqref="F31" xr:uid="{10D1DAE5-FEB7-4C4E-9E53-1008440E9EB0}">
      <formula1>0</formula1>
      <formula2>#REF!</formula2>
    </dataValidation>
    <dataValidation type="decimal" errorStyle="warning" allowBlank="1" showErrorMessage="1" errorTitle="Please check Allowable IPC" error="Seller cashback cannot exceed Total Allowable IPC's" sqref="F30" xr:uid="{D960261E-072D-4CF8-9854-5F362BC6AD46}">
      <formula1>0</formula1>
      <formula2>F26</formula2>
    </dataValidation>
  </dataValidations>
  <hyperlinks>
    <hyperlink ref="G68" r:id="rId1" xr:uid="{0527B358-E0FA-4204-82C1-5A1965099584}"/>
    <hyperlink ref="E69" r:id="rId2" xr:uid="{2C81B9C4-1685-4326-A6E3-701030388F4D}"/>
  </hyperlinks>
  <printOptions horizontalCentered="1" verticalCentered="1"/>
  <pageMargins left="0" right="0" top="0" bottom="0" header="0" footer="0"/>
  <pageSetup scale="67" orientation="landscape" r:id="rId3"/>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038" r:id="rId7" name="Option Button 14">
              <controlPr locked="0" defaultSize="0" autoFill="0" autoLine="0" autoPict="0">
                <anchor moveWithCells="1">
                  <from>
                    <xdr:col>18</xdr:col>
                    <xdr:colOff>9525</xdr:colOff>
                    <xdr:row>6</xdr:row>
                    <xdr:rowOff>0</xdr:rowOff>
                  </from>
                  <to>
                    <xdr:col>19</xdr:col>
                    <xdr:colOff>238125</xdr:colOff>
                    <xdr:row>7</xdr:row>
                    <xdr:rowOff>19050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19</xdr:col>
                    <xdr:colOff>523875</xdr:colOff>
                    <xdr:row>6</xdr:row>
                    <xdr:rowOff>0</xdr:rowOff>
                  </from>
                  <to>
                    <xdr:col>21</xdr:col>
                    <xdr:colOff>571500</xdr:colOff>
                    <xdr:row>7</xdr:row>
                    <xdr:rowOff>28575</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24</xdr:col>
                    <xdr:colOff>180975</xdr:colOff>
                    <xdr:row>6</xdr:row>
                    <xdr:rowOff>9525</xdr:rowOff>
                  </from>
                  <to>
                    <xdr:col>26</xdr:col>
                    <xdr:colOff>314325</xdr:colOff>
                    <xdr:row>7</xdr:row>
                    <xdr:rowOff>28575</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26</xdr:col>
                    <xdr:colOff>409575</xdr:colOff>
                    <xdr:row>6</xdr:row>
                    <xdr:rowOff>9525</xdr:rowOff>
                  </from>
                  <to>
                    <xdr:col>28</xdr:col>
                    <xdr:colOff>371475</xdr:colOff>
                    <xdr:row>7</xdr:row>
                    <xdr:rowOff>38100</xdr:rowOff>
                  </to>
                </anchor>
              </controlPr>
            </control>
          </mc:Choice>
        </mc:AlternateContent>
        <mc:AlternateContent xmlns:mc="http://schemas.openxmlformats.org/markup-compatibility/2006">
          <mc:Choice Requires="x14">
            <control shapeId="1046" r:id="rId11" name="Option Button 22">
              <controlPr defaultSize="0" autoFill="0" autoLine="0" autoPict="0">
                <anchor moveWithCells="1">
                  <from>
                    <xdr:col>21</xdr:col>
                    <xdr:colOff>676275</xdr:colOff>
                    <xdr:row>6</xdr:row>
                    <xdr:rowOff>0</xdr:rowOff>
                  </from>
                  <to>
                    <xdr:col>24</xdr:col>
                    <xdr:colOff>0</xdr:colOff>
                    <xdr:row>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error="Please select an option from the dropdown menu." xr:uid="{8A185065-B04C-478C-B421-F4F48594E601}">
          <x14:formula1>
            <xm:f>' '!$A$2:$A$99</xm:f>
          </x14:formula1>
          <xm:sqref>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39840-7283-4FB7-A496-65496B720F4A}">
  <sheetPr codeName="Sheet2"/>
  <dimension ref="A1:A7"/>
  <sheetViews>
    <sheetView workbookViewId="0">
      <selection activeCell="A8" sqref="A8"/>
    </sheetView>
  </sheetViews>
  <sheetFormatPr defaultRowHeight="15" x14ac:dyDescent="0.25"/>
  <cols>
    <col min="1" max="1" width="14" customWidth="1"/>
  </cols>
  <sheetData>
    <row r="1" spans="1:1" x14ac:dyDescent="0.25">
      <c r="A1" s="4" t="s">
        <v>3</v>
      </c>
    </row>
    <row r="2" spans="1:1" x14ac:dyDescent="0.25">
      <c r="A2" s="5">
        <v>0.02</v>
      </c>
    </row>
    <row r="3" spans="1:1" x14ac:dyDescent="0.25">
      <c r="A3" s="5">
        <v>0.03</v>
      </c>
    </row>
    <row r="4" spans="1:1" x14ac:dyDescent="0.25">
      <c r="A4" s="5">
        <v>0.04</v>
      </c>
    </row>
    <row r="5" spans="1:1" x14ac:dyDescent="0.25">
      <c r="A5" s="5">
        <v>0.06</v>
      </c>
    </row>
    <row r="6" spans="1:1" x14ac:dyDescent="0.25">
      <c r="A6" s="5">
        <v>0.09</v>
      </c>
    </row>
    <row r="7" spans="1:1" x14ac:dyDescent="0.25">
      <c r="A7" s="5">
        <v>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What is 3-2-1 Buydown</vt:lpstr>
      <vt:lpstr>Buydown Calculator</vt:lpstr>
      <vt:lpstr> </vt:lpstr>
      <vt:lpstr>'Buydown Calculator'!Print_Area</vt:lpstr>
      <vt:lpstr>'What is 3-2-1 Buydown'!Print_Area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Krysti Catanzaro</dc:creator>
  <cp:lastModifiedBy>Eyal Tropen</cp:lastModifiedBy>
  <cp:lastPrinted>2022-12-14T01:29:04Z</cp:lastPrinted>
  <dcterms:created xsi:type="dcterms:W3CDTF">2022-08-30T18:42:52Z</dcterms:created>
  <dcterms:modified xsi:type="dcterms:W3CDTF">2022-12-14T01:29:17Z</dcterms:modified>
</cp:coreProperties>
</file>